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65456" windowWidth="20580" windowHeight="11660" firstSheet="1" activeTab="5"/>
  </bookViews>
  <sheets>
    <sheet name="Distribution" sheetId="1" r:id="rId1"/>
    <sheet name="Compensation for Services" sheetId="2" r:id="rId2"/>
    <sheet name="Net Worth 45" sheetId="3" r:id="rId3"/>
    <sheet name="Net Worth 65" sheetId="4" r:id="rId4"/>
    <sheet name="Net Worth 77" sheetId="5" r:id="rId5"/>
    <sheet name="Net Worth 90" sheetId="6" r:id="rId6"/>
  </sheets>
  <definedNames/>
  <calcPr fullCalcOnLoad="1"/>
</workbook>
</file>

<file path=xl/sharedStrings.xml><?xml version="1.0" encoding="utf-8"?>
<sst xmlns="http://schemas.openxmlformats.org/spreadsheetml/2006/main" count="638" uniqueCount="221">
  <si>
    <t>Assume the On Farm Heir is also the primary caregiver</t>
  </si>
  <si>
    <t>3 Year Care Adjustment</t>
  </si>
  <si>
    <t>Caregiver/Farmer</t>
  </si>
  <si>
    <t>Other Heirs</t>
  </si>
  <si>
    <t>5 Year Care Adjustment</t>
  </si>
  <si>
    <t>7 Year Care Adjustment</t>
  </si>
  <si>
    <t>10 Year Care Adjustment</t>
  </si>
  <si>
    <t>Personal Care</t>
  </si>
  <si>
    <t>Farm Maintenance</t>
  </si>
  <si>
    <t>Farm Management</t>
  </si>
  <si>
    <t>Bookkeeping</t>
  </si>
  <si>
    <t>Farm Labor</t>
  </si>
  <si>
    <t>Mechanics</t>
  </si>
  <si>
    <t>Personal Financial Advisor</t>
  </si>
  <si>
    <t>Lawn Mowing, Snow removal and Groundskeeping</t>
  </si>
  <si>
    <t>Total Personal Care</t>
  </si>
  <si>
    <t>Total Farm Maintenance</t>
  </si>
  <si>
    <t>Combine (1/2 owner)</t>
  </si>
  <si>
    <t>Tom's Place</t>
  </si>
  <si>
    <t>JD 8400</t>
  </si>
  <si>
    <t>JD 6420</t>
  </si>
  <si>
    <t>JD 4450</t>
  </si>
  <si>
    <t>Case 2388 (1/2 owner)</t>
  </si>
  <si>
    <t>Kinze 2600 (1/2 owner)</t>
  </si>
  <si>
    <t>4 wheeler (2)</t>
  </si>
  <si>
    <t>Grain Truck</t>
  </si>
  <si>
    <t>Bred Heifers</t>
  </si>
  <si>
    <t>Heifer Calves</t>
  </si>
  <si>
    <t xml:space="preserve">  Accounts payable</t>
  </si>
  <si>
    <t xml:space="preserve">  Farm taxes due</t>
  </si>
  <si>
    <t xml:space="preserve">  Accrued interest - short</t>
  </si>
  <si>
    <t>Balance Due</t>
  </si>
  <si>
    <t>Date:</t>
  </si>
  <si>
    <t>Operating</t>
  </si>
  <si>
    <t>Pickup Truck</t>
  </si>
  <si>
    <t>Interest accrued</t>
  </si>
  <si>
    <t xml:space="preserve">  Current notes and credit lines</t>
  </si>
  <si>
    <t xml:space="preserve">Accrued Interest - fixed </t>
  </si>
  <si>
    <t xml:space="preserve">  Balance Due in 12 months - fixed</t>
  </si>
  <si>
    <t>Long Term Loans</t>
  </si>
  <si>
    <t>Total Balance Due</t>
  </si>
  <si>
    <t>Interest Accrued</t>
  </si>
  <si>
    <t>$$ Due in 12 Mos.</t>
  </si>
  <si>
    <t>JD6420</t>
  </si>
  <si>
    <t>F-350</t>
  </si>
  <si>
    <t>Other Machinery Loans</t>
  </si>
  <si>
    <t>Long Term Loan Balance</t>
  </si>
  <si>
    <t>Cash Rent Due March 1</t>
  </si>
  <si>
    <t>Bred Angus Heifers</t>
  </si>
  <si>
    <t>Farm Liabilities</t>
  </si>
  <si>
    <t>Hay Equipment</t>
  </si>
  <si>
    <t>Grain Trucks (2)</t>
  </si>
  <si>
    <t>Sprayer</t>
  </si>
  <si>
    <r>
      <t>Combine</t>
    </r>
    <r>
      <rPr>
        <sz val="10"/>
        <rFont val="Arial"/>
        <family val="0"/>
      </rPr>
      <t xml:space="preserve"> (1/2 owner)</t>
    </r>
  </si>
  <si>
    <t>JD 8760</t>
  </si>
  <si>
    <t>Grain Bin</t>
  </si>
  <si>
    <t>South 240</t>
  </si>
  <si>
    <t>Principal due in 12 Mos.</t>
  </si>
  <si>
    <t xml:space="preserve">Grain Bin </t>
  </si>
  <si>
    <t>Mary and Denny Miller - Farm Net Worth Statement at Age 65</t>
  </si>
  <si>
    <t>Mary and Denny Miller - Farm Net Worth Statement at Age 77</t>
  </si>
  <si>
    <t>Mary and Denny Miller - Net Worth Statement Age 45</t>
  </si>
  <si>
    <t>Sprayer (1/2 owner)</t>
  </si>
  <si>
    <t>Grain Bin(2)</t>
  </si>
  <si>
    <t>Mary Miller - Farm Net Worth Statement at Age 90</t>
  </si>
  <si>
    <t>Loans Due in 12 mos.</t>
  </si>
  <si>
    <t>Taxes</t>
  </si>
  <si>
    <t>Part I - Crediting the on-farm heir for their contributions to labor, management and growth over the life of the business</t>
  </si>
  <si>
    <t>Year Entered:</t>
  </si>
  <si>
    <t>Current Year:</t>
  </si>
  <si>
    <t>Increase in Equity attributed to acquisition of farmland</t>
  </si>
  <si>
    <t>Increase in Equity of other business assets</t>
  </si>
  <si>
    <r>
      <t xml:space="preserve">What is the </t>
    </r>
    <r>
      <rPr>
        <b/>
        <sz val="10"/>
        <rFont val="Arial"/>
        <family val="2"/>
      </rPr>
      <t>owner's</t>
    </r>
    <r>
      <rPr>
        <sz val="10"/>
        <rFont val="Arial"/>
        <family val="0"/>
      </rPr>
      <t xml:space="preserve"> estimated contribution to labor &amp; management?</t>
    </r>
  </si>
  <si>
    <r>
      <t xml:space="preserve">What is the </t>
    </r>
    <r>
      <rPr>
        <b/>
        <sz val="10"/>
        <rFont val="Arial"/>
        <family val="2"/>
      </rPr>
      <t>successor's</t>
    </r>
    <r>
      <rPr>
        <sz val="10"/>
        <rFont val="Arial"/>
        <family val="0"/>
      </rPr>
      <t xml:space="preserve"> estimated contribution to labor &amp; management?</t>
    </r>
  </si>
  <si>
    <t>Age 45</t>
  </si>
  <si>
    <t>Age 65</t>
  </si>
  <si>
    <t>Farmland previously held</t>
  </si>
  <si>
    <t>Farmland given or inherited</t>
  </si>
  <si>
    <t>Recently purchased farmland**</t>
  </si>
  <si>
    <t>**farmland purchased after</t>
  </si>
  <si>
    <t>Old Land Loans</t>
  </si>
  <si>
    <t>New Land Loans</t>
  </si>
  <si>
    <t>Increase in Equity of Original and Gifted Farmland</t>
  </si>
  <si>
    <t>On Farm Heir's Share from Distribution page</t>
  </si>
  <si>
    <t>Each off Farm Heir's share from Distribution page</t>
  </si>
  <si>
    <t xml:space="preserve"> Current Assets</t>
  </si>
  <si>
    <t xml:space="preserve"> Current Liabilities</t>
  </si>
  <si>
    <t xml:space="preserve">  Checking and savings accounts</t>
  </si>
  <si>
    <t xml:space="preserve">  Other current assets</t>
  </si>
  <si>
    <t xml:space="preserve">  Other current liabilities</t>
  </si>
  <si>
    <t xml:space="preserve">  A) Total Current Assets</t>
  </si>
  <si>
    <t xml:space="preserve">  C) Total Current Liabilities</t>
  </si>
  <si>
    <t xml:space="preserve"> Fixed Assets</t>
  </si>
  <si>
    <t xml:space="preserve"> Fixed Liabilities</t>
  </si>
  <si>
    <t xml:space="preserve">  Other fixed liabilities</t>
  </si>
  <si>
    <t xml:space="preserve">  Total Fixed Liabilities</t>
  </si>
  <si>
    <t xml:space="preserve">  Other fixed assets</t>
  </si>
  <si>
    <t xml:space="preserve">  Total Fixed Assets</t>
  </si>
  <si>
    <t>B) Total Farm Assets</t>
  </si>
  <si>
    <t>D) Total Farm Liabilities</t>
  </si>
  <si>
    <t>E) Farm Net Worth (B - D)</t>
  </si>
  <si>
    <t>F) Farm Net Worth Last Year</t>
  </si>
  <si>
    <t>Working Capital (A - C)</t>
  </si>
  <si>
    <t>G) Change in Farm Net Worth (E - F)</t>
  </si>
  <si>
    <t>Current Asset-to-Debt Ratio (A / C)</t>
  </si>
  <si>
    <t>Percent Change in Net Worth (G / F)</t>
  </si>
  <si>
    <t>Total Debt-to-Asset Ratio (D / B)</t>
  </si>
  <si>
    <t>Personal Assets</t>
  </si>
  <si>
    <t>Personal Liabilities</t>
  </si>
  <si>
    <t xml:space="preserve">  Bank accounts, cash</t>
  </si>
  <si>
    <t xml:space="preserve">  Credit card, charge accounts, etc.</t>
  </si>
  <si>
    <t xml:space="preserve">  Vehicles, boats, etc.</t>
  </si>
  <si>
    <t xml:space="preserve">  Automobile loans</t>
  </si>
  <si>
    <t xml:space="preserve">  Household goods, clothing, personal items</t>
  </si>
  <si>
    <t xml:space="preserve">  Accounts payable, taxes due</t>
  </si>
  <si>
    <t xml:space="preserve">  Stocks, bonds, retirement accounts, life insurance </t>
  </si>
  <si>
    <t xml:space="preserve">  Other loans</t>
  </si>
  <si>
    <t xml:space="preserve">  Real estate</t>
  </si>
  <si>
    <t xml:space="preserve">  Real estate, other long-term loans</t>
  </si>
  <si>
    <t xml:space="preserve">  Other personal assets</t>
  </si>
  <si>
    <t xml:space="preserve">  Other personal liabilities</t>
  </si>
  <si>
    <t xml:space="preserve">  Total Personal Assets</t>
  </si>
  <si>
    <t xml:space="preserve">  Total Personal Liabilities</t>
  </si>
  <si>
    <t xml:space="preserve">  Total Personal Net Worth</t>
  </si>
  <si>
    <t xml:space="preserve">  Personal Debt-to-Asset Ratio</t>
  </si>
  <si>
    <t xml:space="preserve">  Farm plus Personal Net Worth, Market Value </t>
  </si>
  <si>
    <t xml:space="preserve">  Overall Debt-to-Asset Ratio</t>
  </si>
  <si>
    <t>Quantity</t>
  </si>
  <si>
    <t>Crop</t>
  </si>
  <si>
    <t>Price/Unit</t>
  </si>
  <si>
    <t xml:space="preserve">  Crops held for sale/feed</t>
  </si>
  <si>
    <t xml:space="preserve">  Commercial feed on hand</t>
  </si>
  <si>
    <t xml:space="preserve">  Prepaid expenses</t>
  </si>
  <si>
    <t>Species</t>
  </si>
  <si>
    <t>Number</t>
  </si>
  <si>
    <t xml:space="preserve">Price/lb. </t>
  </si>
  <si>
    <t>Avg. Weight</t>
  </si>
  <si>
    <t>Value</t>
  </si>
  <si>
    <t>Corn</t>
  </si>
  <si>
    <t>Soybeans</t>
  </si>
  <si>
    <t>Round Bales</t>
  </si>
  <si>
    <t xml:space="preserve">  Market livestock</t>
  </si>
  <si>
    <t xml:space="preserve">  Supplies on hand</t>
  </si>
  <si>
    <t xml:space="preserve">  Accounts receivable</t>
  </si>
  <si>
    <t>Description</t>
  </si>
  <si>
    <t>Price/Head</t>
  </si>
  <si>
    <t>Depreciation</t>
  </si>
  <si>
    <t>Current Value</t>
  </si>
  <si>
    <t>Current Market Value</t>
  </si>
  <si>
    <t>Total Value</t>
  </si>
  <si>
    <t xml:space="preserve">  Breeding livestock </t>
  </si>
  <si>
    <t xml:space="preserve">  Machinery &amp; equipment</t>
  </si>
  <si>
    <t xml:space="preserve">  Buildings/improvements </t>
  </si>
  <si>
    <t xml:space="preserve">  Farmland</t>
  </si>
  <si>
    <t xml:space="preserve">  Farm securities, certificates</t>
  </si>
  <si>
    <t>Others</t>
  </si>
  <si>
    <t>Hay/CRP</t>
  </si>
  <si>
    <t>Pasture</t>
  </si>
  <si>
    <t>Value of Current Assets:</t>
  </si>
  <si>
    <t>Cash on hand</t>
  </si>
  <si>
    <t>Crops/Feed on Hand</t>
  </si>
  <si>
    <t>Market Livestock</t>
  </si>
  <si>
    <t>Prepaid Inputs</t>
  </si>
  <si>
    <t>Other</t>
  </si>
  <si>
    <t>Breeding Livestock</t>
  </si>
  <si>
    <t>Machinery &amp; Equipment</t>
  </si>
  <si>
    <t>Buildings/improvements</t>
  </si>
  <si>
    <t>Total Assets:</t>
  </si>
  <si>
    <t>Value of Current Liabilities:</t>
  </si>
  <si>
    <t>Accounts payable</t>
  </si>
  <si>
    <t>Value of Long Term Liabilities:</t>
  </si>
  <si>
    <t>Total Liabilities:</t>
  </si>
  <si>
    <t>Total Net Worth</t>
  </si>
  <si>
    <t>Acres</t>
  </si>
  <si>
    <t>$/ac.</t>
  </si>
  <si>
    <t>Farmland (insert below)</t>
  </si>
  <si>
    <t>Value of Long Term Assets:</t>
  </si>
  <si>
    <t>Interest due in 12 mos.</t>
  </si>
  <si>
    <t>1. Calculate the increase in net worth since the heir entered the business</t>
  </si>
  <si>
    <t>Total Increase in Net Worth</t>
  </si>
  <si>
    <t>2. Determine portion of increased net worth due to the heir's contributions</t>
  </si>
  <si>
    <t>Owner's Contributions</t>
  </si>
  <si>
    <t>Successor's Contributions</t>
  </si>
  <si>
    <t>3. Estimated Distribution of Assets</t>
  </si>
  <si>
    <t>LT Livestock Loans</t>
  </si>
  <si>
    <t>Machinery Loans</t>
  </si>
  <si>
    <t>Building Loans</t>
  </si>
  <si>
    <t>Land Loans</t>
  </si>
  <si>
    <t>Adjustment: Additional value attributed to the successor because assets were purchased with the help of successor OR purchased only because the future of the business is known.</t>
  </si>
  <si>
    <t>On Farm Heir's Share</t>
  </si>
  <si>
    <t>Each Off Farm Heirs' Share</t>
  </si>
  <si>
    <t>Total Shares</t>
  </si>
  <si>
    <t>Increase in Value Contributed to Successor</t>
  </si>
  <si>
    <t>Increase Attributed to Owner (divided equally)</t>
  </si>
  <si>
    <t>Beginning Estate Value (divided equally)</t>
  </si>
  <si>
    <t>Total Current Net Worth</t>
  </si>
  <si>
    <t>What is the total number of heirs?</t>
  </si>
  <si>
    <t>Value of farm assets on-farm heir may have to purchase from off farm heirs</t>
  </si>
  <si>
    <t xml:space="preserve">Directions: Insert numbers in yellow boxes.  Grey boxes will calculate automatically. </t>
  </si>
  <si>
    <t>Cooking</t>
  </si>
  <si>
    <t>Cleaning (Washing dishes, vaccuuming, dusting, cleaning bathroom)</t>
  </si>
  <si>
    <t>Laundry</t>
  </si>
  <si>
    <t>Bathing, dressing, grooming</t>
  </si>
  <si>
    <t xml:space="preserve">Transportation to Doctor, for Groceries, etc. </t>
  </si>
  <si>
    <t>Pick up and delivery of pills and other supplies</t>
  </si>
  <si>
    <t>Yearly Value</t>
  </si>
  <si>
    <t>TOTAL</t>
  </si>
  <si>
    <t>Value* /hour</t>
  </si>
  <si>
    <t>Hrs./ Week</t>
  </si>
  <si>
    <t>Weeks/ Year</t>
  </si>
  <si>
    <t>Number of Heirs</t>
  </si>
  <si>
    <t>Feeder Cattle</t>
  </si>
  <si>
    <t>Cows</t>
  </si>
  <si>
    <t>Bulls</t>
  </si>
  <si>
    <t>Combine</t>
  </si>
  <si>
    <t>Mower</t>
  </si>
  <si>
    <t>Baler</t>
  </si>
  <si>
    <t>West 80</t>
  </si>
  <si>
    <t>Farm Assets</t>
  </si>
  <si>
    <t xml:space="preserve">   </t>
  </si>
  <si>
    <t>Market Value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</si>
</sst>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&quot;$&quot;#,##0.0_);\(&quot;$&quot;#,##0.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 MT"/>
      <family val="0"/>
    </font>
    <font>
      <sz val="12"/>
      <name val="Arial MT"/>
      <family val="0"/>
    </font>
    <font>
      <sz val="9"/>
      <color indexed="8"/>
      <name val="Arial MT"/>
      <family val="0"/>
    </font>
    <font>
      <b/>
      <sz val="10"/>
      <name val="Arial MT"/>
      <family val="0"/>
    </font>
    <font>
      <sz val="10"/>
      <name val="Arial MT"/>
      <family val="0"/>
    </font>
    <font>
      <sz val="10"/>
      <color indexed="8"/>
      <name val="Arial MT"/>
      <family val="0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MT"/>
      <family val="0"/>
    </font>
    <font>
      <sz val="12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37" fontId="14" fillId="23" borderId="0">
      <alignment/>
      <protection/>
    </xf>
    <xf numFmtId="0" fontId="0" fillId="24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0" fillId="25" borderId="10" xfId="44" applyFont="1" applyFill="1" applyBorder="1" applyAlignment="1">
      <alignment/>
    </xf>
    <xf numFmtId="44" fontId="0" fillId="20" borderId="10" xfId="44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37" fontId="12" fillId="0" borderId="13" xfId="0" applyNumberFormat="1" applyFont="1" applyBorder="1" applyAlignment="1">
      <alignment horizontal="left"/>
    </xf>
    <xf numFmtId="37" fontId="10" fillId="0" borderId="0" xfId="0" applyNumberFormat="1" applyFont="1" applyBorder="1" applyAlignment="1">
      <alignment/>
    </xf>
    <xf numFmtId="37" fontId="11" fillId="0" borderId="14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5" fontId="1" fillId="0" borderId="14" xfId="0" applyNumberFormat="1" applyFont="1" applyBorder="1" applyAlignment="1">
      <alignment/>
    </xf>
    <xf numFmtId="5" fontId="1" fillId="22" borderId="15" xfId="0" applyNumberFormat="1" applyFont="1" applyFill="1" applyBorder="1" applyAlignment="1" applyProtection="1">
      <alignment/>
      <protection locked="0"/>
    </xf>
    <xf numFmtId="37" fontId="1" fillId="0" borderId="16" xfId="0" applyNumberFormat="1" applyFont="1" applyBorder="1" applyAlignment="1">
      <alignment/>
    </xf>
    <xf numFmtId="5" fontId="1" fillId="0" borderId="17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13" fillId="23" borderId="19" xfId="55" applyNumberFormat="1" applyFont="1" applyBorder="1">
      <alignment/>
      <protection/>
    </xf>
    <xf numFmtId="37" fontId="1" fillId="0" borderId="20" xfId="0" applyNumberFormat="1" applyFont="1" applyBorder="1" applyAlignment="1">
      <alignment/>
    </xf>
    <xf numFmtId="37" fontId="1" fillId="0" borderId="20" xfId="0" applyNumberFormat="1" applyFont="1" applyBorder="1" applyAlignment="1" applyProtection="1">
      <alignment/>
      <protection/>
    </xf>
    <xf numFmtId="37" fontId="13" fillId="23" borderId="21" xfId="55" applyNumberFormat="1" applyFont="1" applyBorder="1">
      <alignment/>
      <protection/>
    </xf>
    <xf numFmtId="37" fontId="13" fillId="23" borderId="22" xfId="55" applyNumberFormat="1" applyFont="1" applyBorder="1">
      <alignment/>
      <protection/>
    </xf>
    <xf numFmtId="37" fontId="18" fillId="23" borderId="22" xfId="55" applyNumberFormat="1" applyFont="1" applyBorder="1">
      <alignment/>
      <protection/>
    </xf>
    <xf numFmtId="37" fontId="17" fillId="23" borderId="22" xfId="55" applyNumberFormat="1" applyFont="1" applyBorder="1">
      <alignment/>
      <protection/>
    </xf>
    <xf numFmtId="37" fontId="12" fillId="0" borderId="0" xfId="0" applyNumberFormat="1" applyFont="1" applyBorder="1" applyAlignment="1">
      <alignment horizontal="left"/>
    </xf>
    <xf numFmtId="37" fontId="13" fillId="23" borderId="0" xfId="55" applyNumberFormat="1" applyFont="1" applyBorder="1">
      <alignment/>
      <protection/>
    </xf>
    <xf numFmtId="37" fontId="13" fillId="23" borderId="20" xfId="55" applyNumberFormat="1" applyFont="1" applyBorder="1">
      <alignment/>
      <protection/>
    </xf>
    <xf numFmtId="37" fontId="11" fillId="0" borderId="0" xfId="0" applyNumberFormat="1" applyFont="1" applyBorder="1" applyAlignment="1">
      <alignment horizontal="center"/>
    </xf>
    <xf numFmtId="5" fontId="1" fillId="0" borderId="0" xfId="0" applyNumberFormat="1" applyFont="1" applyFill="1" applyBorder="1" applyAlignment="1">
      <alignment/>
    </xf>
    <xf numFmtId="37" fontId="1" fillId="0" borderId="19" xfId="0" applyNumberFormat="1" applyFont="1" applyBorder="1" applyAlignment="1">
      <alignment/>
    </xf>
    <xf numFmtId="5" fontId="1" fillId="0" borderId="20" xfId="0" applyNumberFormat="1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44" fontId="1" fillId="22" borderId="10" xfId="44" applyFont="1" applyFill="1" applyBorder="1" applyAlignment="1" applyProtection="1">
      <alignment/>
      <protection/>
    </xf>
    <xf numFmtId="5" fontId="1" fillId="20" borderId="23" xfId="0" applyNumberFormat="1" applyFont="1" applyFill="1" applyBorder="1" applyAlignment="1" applyProtection="1">
      <alignment/>
      <protection/>
    </xf>
    <xf numFmtId="5" fontId="1" fillId="0" borderId="14" xfId="0" applyNumberFormat="1" applyFont="1" applyFill="1" applyBorder="1" applyAlignment="1">
      <alignment/>
    </xf>
    <xf numFmtId="5" fontId="1" fillId="22" borderId="15" xfId="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5" fontId="1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12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7" fontId="16" fillId="23" borderId="0" xfId="55" applyNumberFormat="1" applyFont="1" applyBorder="1">
      <alignment/>
      <protection/>
    </xf>
    <xf numFmtId="9" fontId="17" fillId="23" borderId="0" xfId="58" applyFont="1" applyFill="1" applyBorder="1" applyAlignment="1">
      <alignment/>
    </xf>
    <xf numFmtId="37" fontId="11" fillId="0" borderId="0" xfId="0" applyNumberFormat="1" applyFont="1" applyBorder="1" applyAlignment="1">
      <alignment/>
    </xf>
    <xf numFmtId="37" fontId="17" fillId="23" borderId="0" xfId="55" applyNumberFormat="1" applyFont="1" applyBorder="1">
      <alignment/>
      <protection/>
    </xf>
    <xf numFmtId="5" fontId="1" fillId="0" borderId="20" xfId="0" applyNumberFormat="1" applyFont="1" applyFill="1" applyBorder="1" applyAlignment="1">
      <alignment/>
    </xf>
    <xf numFmtId="37" fontId="1" fillId="0" borderId="24" xfId="0" applyNumberFormat="1" applyFont="1" applyBorder="1" applyAlignment="1">
      <alignment/>
    </xf>
    <xf numFmtId="5" fontId="1" fillId="0" borderId="24" xfId="0" applyNumberFormat="1" applyFont="1" applyFill="1" applyBorder="1" applyAlignment="1">
      <alignment/>
    </xf>
    <xf numFmtId="37" fontId="1" fillId="0" borderId="20" xfId="0" applyNumberFormat="1" applyFont="1" applyFill="1" applyBorder="1" applyAlignment="1" applyProtection="1">
      <alignment/>
      <protection/>
    </xf>
    <xf numFmtId="37" fontId="1" fillId="0" borderId="20" xfId="0" applyNumberFormat="1" applyFont="1" applyFill="1" applyBorder="1" applyAlignment="1" applyProtection="1">
      <alignment/>
      <protection locked="0"/>
    </xf>
    <xf numFmtId="37" fontId="1" fillId="0" borderId="16" xfId="0" applyNumberFormat="1" applyFont="1" applyFill="1" applyBorder="1" applyAlignment="1" applyProtection="1">
      <alignment/>
      <protection locked="0"/>
    </xf>
    <xf numFmtId="5" fontId="1" fillId="0" borderId="16" xfId="0" applyNumberFormat="1" applyFont="1" applyFill="1" applyBorder="1" applyAlignment="1" applyProtection="1">
      <alignment/>
      <protection locked="0"/>
    </xf>
    <xf numFmtId="37" fontId="13" fillId="23" borderId="25" xfId="55" applyNumberFormat="1" applyFont="1" applyBorder="1">
      <alignment/>
      <protection/>
    </xf>
    <xf numFmtId="37" fontId="13" fillId="23" borderId="26" xfId="55" applyNumberFormat="1" applyFont="1" applyBorder="1">
      <alignment/>
      <protection/>
    </xf>
    <xf numFmtId="37" fontId="15" fillId="23" borderId="26" xfId="55" applyNumberFormat="1" applyFont="1" applyBorder="1">
      <alignment/>
      <protection/>
    </xf>
    <xf numFmtId="164" fontId="13" fillId="23" borderId="26" xfId="55" applyNumberFormat="1" applyFont="1" applyBorder="1">
      <alignment/>
      <protection/>
    </xf>
    <xf numFmtId="164" fontId="13" fillId="23" borderId="26" xfId="55" applyNumberFormat="1" applyFont="1" applyBorder="1" applyProtection="1">
      <alignment/>
      <protection/>
    </xf>
    <xf numFmtId="164" fontId="15" fillId="23" borderId="26" xfId="55" applyNumberFormat="1" applyFont="1" applyBorder="1" applyProtection="1">
      <alignment/>
      <protection/>
    </xf>
    <xf numFmtId="37" fontId="1" fillId="0" borderId="10" xfId="0" applyNumberFormat="1" applyFont="1" applyBorder="1" applyAlignment="1">
      <alignment/>
    </xf>
    <xf numFmtId="37" fontId="1" fillId="22" borderId="10" xfId="0" applyNumberFormat="1" applyFont="1" applyFill="1" applyBorder="1" applyAlignment="1">
      <alignment/>
    </xf>
    <xf numFmtId="44" fontId="1" fillId="22" borderId="10" xfId="44" applyFont="1" applyFill="1" applyBorder="1" applyAlignment="1">
      <alignment/>
    </xf>
    <xf numFmtId="5" fontId="1" fillId="0" borderId="10" xfId="0" applyNumberFormat="1" applyFont="1" applyFill="1" applyBorder="1" applyAlignment="1">
      <alignment/>
    </xf>
    <xf numFmtId="44" fontId="1" fillId="20" borderId="10" xfId="44" applyFont="1" applyFill="1" applyBorder="1" applyAlignment="1">
      <alignment/>
    </xf>
    <xf numFmtId="37" fontId="1" fillId="0" borderId="10" xfId="0" applyNumberFormat="1" applyFont="1" applyBorder="1" applyAlignment="1" applyProtection="1">
      <alignment/>
      <protection/>
    </xf>
    <xf numFmtId="0" fontId="0" fillId="22" borderId="10" xfId="0" applyFill="1" applyBorder="1" applyAlignment="1">
      <alignment/>
    </xf>
    <xf numFmtId="37" fontId="1" fillId="0" borderId="27" xfId="0" applyNumberFormat="1" applyFont="1" applyBorder="1" applyAlignment="1" applyProtection="1">
      <alignment/>
      <protection/>
    </xf>
    <xf numFmtId="5" fontId="1" fillId="0" borderId="20" xfId="0" applyNumberFormat="1" applyFont="1" applyBorder="1" applyAlignment="1">
      <alignment/>
    </xf>
    <xf numFmtId="5" fontId="1" fillId="0" borderId="16" xfId="0" applyNumberFormat="1" applyFont="1" applyBorder="1" applyAlignment="1">
      <alignment/>
    </xf>
    <xf numFmtId="0" fontId="0" fillId="22" borderId="28" xfId="0" applyFill="1" applyBorder="1" applyAlignment="1">
      <alignment/>
    </xf>
    <xf numFmtId="37" fontId="1" fillId="0" borderId="29" xfId="0" applyNumberFormat="1" applyFont="1" applyFill="1" applyBorder="1" applyAlignment="1">
      <alignment/>
    </xf>
    <xf numFmtId="44" fontId="1" fillId="20" borderId="29" xfId="44" applyFont="1" applyFill="1" applyBorder="1" applyAlignment="1">
      <alignment/>
    </xf>
    <xf numFmtId="44" fontId="0" fillId="22" borderId="10" xfId="44" applyFont="1" applyFill="1" applyBorder="1" applyAlignment="1">
      <alignment/>
    </xf>
    <xf numFmtId="37" fontId="1" fillId="22" borderId="10" xfId="0" applyNumberFormat="1" applyFont="1" applyFill="1" applyBorder="1" applyAlignment="1" applyProtection="1">
      <alignment/>
      <protection/>
    </xf>
    <xf numFmtId="37" fontId="1" fillId="0" borderId="10" xfId="0" applyNumberFormat="1" applyFont="1" applyFill="1" applyBorder="1" applyAlignment="1" applyProtection="1">
      <alignment/>
      <protection/>
    </xf>
    <xf numFmtId="44" fontId="1" fillId="0" borderId="10" xfId="44" applyFont="1" applyBorder="1" applyAlignment="1" applyProtection="1">
      <alignment/>
      <protection/>
    </xf>
    <xf numFmtId="37" fontId="1" fillId="0" borderId="29" xfId="0" applyNumberFormat="1" applyFont="1" applyBorder="1" applyAlignment="1" applyProtection="1">
      <alignment/>
      <protection/>
    </xf>
    <xf numFmtId="44" fontId="0" fillId="22" borderId="29" xfId="44" applyFont="1" applyFill="1" applyBorder="1" applyAlignment="1">
      <alignment/>
    </xf>
    <xf numFmtId="44" fontId="1" fillId="22" borderId="29" xfId="44" applyFont="1" applyFill="1" applyBorder="1" applyAlignment="1" applyProtection="1">
      <alignment/>
      <protection/>
    </xf>
    <xf numFmtId="44" fontId="1" fillId="0" borderId="29" xfId="44" applyFont="1" applyBorder="1" applyAlignment="1" applyProtection="1">
      <alignment/>
      <protection/>
    </xf>
    <xf numFmtId="37" fontId="1" fillId="0" borderId="26" xfId="0" applyNumberFormat="1" applyFont="1" applyBorder="1" applyAlignment="1">
      <alignment/>
    </xf>
    <xf numFmtId="5" fontId="11" fillId="0" borderId="26" xfId="0" applyNumberFormat="1" applyFont="1" applyBorder="1" applyAlignment="1">
      <alignment/>
    </xf>
    <xf numFmtId="37" fontId="1" fillId="0" borderId="26" xfId="0" applyNumberFormat="1" applyFont="1" applyBorder="1" applyAlignment="1" applyProtection="1">
      <alignment/>
      <protection/>
    </xf>
    <xf numFmtId="5" fontId="11" fillId="0" borderId="20" xfId="0" applyNumberFormat="1" applyFont="1" applyBorder="1" applyAlignment="1">
      <alignment/>
    </xf>
    <xf numFmtId="164" fontId="13" fillId="23" borderId="20" xfId="55" applyNumberFormat="1" applyFont="1" applyBorder="1">
      <alignment/>
      <protection/>
    </xf>
    <xf numFmtId="37" fontId="0" fillId="0" borderId="20" xfId="0" applyNumberFormat="1" applyFont="1" applyBorder="1" applyAlignment="1">
      <alignment/>
    </xf>
    <xf numFmtId="37" fontId="16" fillId="23" borderId="20" xfId="55" applyNumberFormat="1" applyFont="1" applyBorder="1">
      <alignment/>
      <protection/>
    </xf>
    <xf numFmtId="37" fontId="14" fillId="23" borderId="20" xfId="55" applyNumberFormat="1" applyBorder="1">
      <alignment/>
      <protection/>
    </xf>
    <xf numFmtId="9" fontId="17" fillId="23" borderId="20" xfId="58" applyFont="1" applyFill="1" applyBorder="1" applyAlignment="1">
      <alignment/>
    </xf>
    <xf numFmtId="37" fontId="18" fillId="23" borderId="20" xfId="55" applyNumberFormat="1" applyFont="1" applyBorder="1">
      <alignment/>
      <protection/>
    </xf>
    <xf numFmtId="37" fontId="18" fillId="0" borderId="20" xfId="55" applyNumberFormat="1" applyFont="1" applyFill="1" applyBorder="1">
      <alignment/>
      <protection/>
    </xf>
    <xf numFmtId="37" fontId="18" fillId="23" borderId="24" xfId="55" applyNumberFormat="1" applyFont="1" applyBorder="1">
      <alignment/>
      <protection/>
    </xf>
    <xf numFmtId="44" fontId="1" fillId="22" borderId="15" xfId="44" applyFont="1" applyFill="1" applyBorder="1" applyAlignment="1" applyProtection="1">
      <alignment/>
      <protection/>
    </xf>
    <xf numFmtId="5" fontId="1" fillId="20" borderId="15" xfId="0" applyNumberFormat="1" applyFont="1" applyFill="1" applyBorder="1" applyAlignment="1" applyProtection="1">
      <alignment/>
      <protection/>
    </xf>
    <xf numFmtId="5" fontId="1" fillId="0" borderId="14" xfId="0" applyNumberFormat="1" applyFont="1" applyBorder="1" applyAlignment="1" applyProtection="1">
      <alignment/>
      <protection/>
    </xf>
    <xf numFmtId="44" fontId="1" fillId="22" borderId="17" xfId="44" applyFont="1" applyFill="1" applyBorder="1" applyAlignment="1" applyProtection="1">
      <alignment/>
      <protection/>
    </xf>
    <xf numFmtId="44" fontId="1" fillId="20" borderId="15" xfId="0" applyNumberFormat="1" applyFont="1" applyFill="1" applyBorder="1" applyAlignment="1" applyProtection="1">
      <alignment/>
      <protection/>
    </xf>
    <xf numFmtId="5" fontId="1" fillId="22" borderId="15" xfId="0" applyNumberFormat="1" applyFont="1" applyFill="1" applyBorder="1" applyAlignment="1" applyProtection="1">
      <alignment/>
      <protection/>
    </xf>
    <xf numFmtId="5" fontId="1" fillId="20" borderId="17" xfId="0" applyNumberFormat="1" applyFont="1" applyFill="1" applyBorder="1" applyAlignment="1" applyProtection="1">
      <alignment/>
      <protection/>
    </xf>
    <xf numFmtId="5" fontId="11" fillId="0" borderId="30" xfId="0" applyNumberFormat="1" applyFont="1" applyBorder="1" applyAlignment="1">
      <alignment/>
    </xf>
    <xf numFmtId="9" fontId="17" fillId="23" borderId="30" xfId="58" applyFont="1" applyFill="1" applyBorder="1" applyAlignment="1">
      <alignment/>
    </xf>
    <xf numFmtId="9" fontId="17" fillId="23" borderId="18" xfId="58" applyFont="1" applyFill="1" applyBorder="1" applyAlignment="1">
      <alignment/>
    </xf>
    <xf numFmtId="164" fontId="18" fillId="22" borderId="30" xfId="0" applyNumberFormat="1" applyFont="1" applyFill="1" applyBorder="1" applyAlignment="1" applyProtection="1">
      <alignment/>
      <protection locked="0"/>
    </xf>
    <xf numFmtId="164" fontId="18" fillId="23" borderId="30" xfId="55" applyNumberFormat="1" applyFont="1" applyBorder="1">
      <alignment/>
      <protection/>
    </xf>
    <xf numFmtId="37" fontId="9" fillId="0" borderId="31" xfId="0" applyNumberFormat="1" applyFont="1" applyBorder="1" applyAlignment="1">
      <alignment horizontal="left"/>
    </xf>
    <xf numFmtId="37" fontId="9" fillId="0" borderId="32" xfId="0" applyNumberFormat="1" applyFont="1" applyBorder="1" applyAlignment="1">
      <alignment horizontal="left"/>
    </xf>
    <xf numFmtId="37" fontId="10" fillId="0" borderId="32" xfId="0" applyNumberFormat="1" applyFont="1" applyBorder="1" applyAlignment="1">
      <alignment/>
    </xf>
    <xf numFmtId="37" fontId="11" fillId="0" borderId="32" xfId="0" applyNumberFormat="1" applyFont="1" applyBorder="1" applyAlignment="1">
      <alignment horizontal="center"/>
    </xf>
    <xf numFmtId="37" fontId="11" fillId="0" borderId="33" xfId="0" applyNumberFormat="1" applyFont="1" applyBorder="1" applyAlignment="1">
      <alignment horizontal="center"/>
    </xf>
    <xf numFmtId="37" fontId="9" fillId="0" borderId="3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1" fillId="20" borderId="15" xfId="0" applyNumberFormat="1" applyFont="1" applyFill="1" applyBorder="1" applyAlignment="1">
      <alignment/>
    </xf>
    <xf numFmtId="37" fontId="1" fillId="0" borderId="34" xfId="0" applyNumberFormat="1" applyFont="1" applyBorder="1" applyAlignment="1">
      <alignment/>
    </xf>
    <xf numFmtId="5" fontId="1" fillId="20" borderId="15" xfId="0" applyNumberFormat="1" applyFont="1" applyFill="1" applyBorder="1" applyAlignment="1">
      <alignment/>
    </xf>
    <xf numFmtId="37" fontId="1" fillId="0" borderId="35" xfId="0" applyNumberFormat="1" applyFont="1" applyFill="1" applyBorder="1" applyAlignment="1" applyProtection="1">
      <alignment/>
      <protection locked="0"/>
    </xf>
    <xf numFmtId="37" fontId="1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5" fontId="1" fillId="0" borderId="14" xfId="0" applyNumberFormat="1" applyFont="1" applyFill="1" applyBorder="1" applyAlignment="1" applyProtection="1">
      <alignment/>
      <protection locked="0"/>
    </xf>
    <xf numFmtId="37" fontId="1" fillId="0" borderId="14" xfId="0" applyNumberFormat="1" applyFont="1" applyBorder="1" applyAlignment="1">
      <alignment/>
    </xf>
    <xf numFmtId="37" fontId="1" fillId="0" borderId="19" xfId="0" applyNumberFormat="1" applyFont="1" applyFill="1" applyBorder="1" applyAlignment="1" applyProtection="1">
      <alignment/>
      <protection locked="0"/>
    </xf>
    <xf numFmtId="37" fontId="1" fillId="0" borderId="35" xfId="0" applyNumberFormat="1" applyFont="1" applyBorder="1" applyAlignment="1">
      <alignment/>
    </xf>
    <xf numFmtId="5" fontId="11" fillId="20" borderId="30" xfId="0" applyNumberFormat="1" applyFont="1" applyFill="1" applyBorder="1" applyAlignment="1">
      <alignment/>
    </xf>
    <xf numFmtId="4" fontId="13" fillId="20" borderId="30" xfId="55" applyNumberFormat="1" applyFont="1" applyFill="1" applyBorder="1">
      <alignment/>
      <protection/>
    </xf>
    <xf numFmtId="37" fontId="16" fillId="23" borderId="19" xfId="55" applyNumberFormat="1" applyFont="1" applyBorder="1">
      <alignment/>
      <protection/>
    </xf>
    <xf numFmtId="9" fontId="11" fillId="20" borderId="30" xfId="0" applyNumberFormat="1" applyFont="1" applyFill="1" applyBorder="1" applyAlignment="1">
      <alignment/>
    </xf>
    <xf numFmtId="37" fontId="11" fillId="0" borderId="13" xfId="0" applyNumberFormat="1" applyFont="1" applyBorder="1" applyAlignment="1">
      <alignment/>
    </xf>
    <xf numFmtId="37" fontId="16" fillId="23" borderId="13" xfId="55" applyNumberFormat="1" applyFont="1" applyBorder="1">
      <alignment/>
      <protection/>
    </xf>
    <xf numFmtId="37" fontId="18" fillId="23" borderId="18" xfId="55" applyNumberFormat="1" applyFont="1" applyBorder="1">
      <alignment/>
      <protection/>
    </xf>
    <xf numFmtId="37" fontId="18" fillId="23" borderId="19" xfId="55" applyNumberFormat="1" applyFont="1" applyBorder="1">
      <alignment/>
      <protection/>
    </xf>
    <xf numFmtId="37" fontId="18" fillId="0" borderId="19" xfId="55" applyNumberFormat="1" applyFont="1" applyFill="1" applyBorder="1">
      <alignment/>
      <protection/>
    </xf>
    <xf numFmtId="37" fontId="18" fillId="23" borderId="34" xfId="55" applyNumberFormat="1" applyFont="1" applyBorder="1">
      <alignment/>
      <protection/>
    </xf>
    <xf numFmtId="9" fontId="18" fillId="23" borderId="36" xfId="55" applyNumberFormat="1" applyFont="1" applyBorder="1">
      <alignment/>
      <protection/>
    </xf>
    <xf numFmtId="37" fontId="17" fillId="23" borderId="37" xfId="55" applyNumberFormat="1" applyFont="1" applyBorder="1">
      <alignment/>
      <protection/>
    </xf>
    <xf numFmtId="9" fontId="18" fillId="23" borderId="38" xfId="55" applyNumberFormat="1" applyFont="1" applyBorder="1">
      <alignment/>
      <protection/>
    </xf>
    <xf numFmtId="164" fontId="13" fillId="20" borderId="39" xfId="55" applyNumberFormat="1" applyFont="1" applyFill="1" applyBorder="1" applyProtection="1">
      <alignment/>
      <protection/>
    </xf>
    <xf numFmtId="164" fontId="13" fillId="20" borderId="39" xfId="55" applyNumberFormat="1" applyFont="1" applyFill="1" applyBorder="1">
      <alignment/>
      <protection/>
    </xf>
    <xf numFmtId="37" fontId="13" fillId="23" borderId="34" xfId="55" applyNumberFormat="1" applyFont="1" applyBorder="1">
      <alignment/>
      <protection/>
    </xf>
    <xf numFmtId="37" fontId="13" fillId="23" borderId="24" xfId="55" applyNumberFormat="1" applyFont="1" applyBorder="1">
      <alignment/>
      <protection/>
    </xf>
    <xf numFmtId="5" fontId="11" fillId="0" borderId="24" xfId="0" applyNumberFormat="1" applyFont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36" xfId="0" applyBorder="1" applyAlignment="1">
      <alignment/>
    </xf>
    <xf numFmtId="5" fontId="11" fillId="20" borderId="39" xfId="0" applyNumberFormat="1" applyFont="1" applyFill="1" applyBorder="1" applyAlignment="1" applyProtection="1">
      <alignment/>
      <protection/>
    </xf>
    <xf numFmtId="5" fontId="11" fillId="20" borderId="39" xfId="0" applyNumberFormat="1" applyFont="1" applyFill="1" applyBorder="1" applyAlignment="1">
      <alignment/>
    </xf>
    <xf numFmtId="5" fontId="1" fillId="22" borderId="36" xfId="0" applyNumberFormat="1" applyFont="1" applyFill="1" applyBorder="1" applyAlignment="1" applyProtection="1">
      <alignment/>
      <protection locked="0"/>
    </xf>
    <xf numFmtId="5" fontId="20" fillId="20" borderId="39" xfId="0" applyNumberFormat="1" applyFont="1" applyFill="1" applyBorder="1" applyAlignment="1" applyProtection="1">
      <alignment/>
      <protection/>
    </xf>
    <xf numFmtId="164" fontId="18" fillId="23" borderId="18" xfId="55" applyNumberFormat="1" applyFont="1" applyBorder="1">
      <alignment/>
      <protection/>
    </xf>
    <xf numFmtId="164" fontId="21" fillId="23" borderId="39" xfId="55" applyNumberFormat="1" applyFont="1" applyBorder="1">
      <alignment/>
      <protection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20" borderId="10" xfId="44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40" xfId="44" applyNumberFormat="1" applyFont="1" applyBorder="1" applyAlignment="1">
      <alignment/>
    </xf>
    <xf numFmtId="164" fontId="0" fillId="0" borderId="10" xfId="44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20" borderId="40" xfId="44" applyNumberFormat="1" applyFont="1" applyFill="1" applyBorder="1" applyAlignment="1">
      <alignment/>
    </xf>
    <xf numFmtId="164" fontId="2" fillId="0" borderId="42" xfId="0" applyNumberFormat="1" applyFont="1" applyBorder="1" applyAlignment="1">
      <alignment/>
    </xf>
    <xf numFmtId="164" fontId="0" fillId="0" borderId="43" xfId="0" applyNumberFormat="1" applyBorder="1" applyAlignment="1">
      <alignment/>
    </xf>
    <xf numFmtId="164" fontId="0" fillId="20" borderId="43" xfId="44" applyNumberFormat="1" applyFont="1" applyFill="1" applyBorder="1" applyAlignment="1">
      <alignment/>
    </xf>
    <xf numFmtId="164" fontId="0" fillId="0" borderId="44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0" borderId="45" xfId="0" applyNumberForma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9" fontId="0" fillId="20" borderId="10" xfId="58" applyNumberFormat="1" applyFont="1" applyFill="1" applyBorder="1" applyAlignment="1" applyProtection="1">
      <alignment horizontal="center"/>
      <protection/>
    </xf>
    <xf numFmtId="164" fontId="0" fillId="0" borderId="4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20" borderId="1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2" fillId="0" borderId="0" xfId="0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44" fontId="0" fillId="0" borderId="0" xfId="44" applyFont="1" applyFill="1" applyBorder="1" applyAlignment="1">
      <alignment wrapText="1"/>
    </xf>
    <xf numFmtId="0" fontId="0" fillId="0" borderId="0" xfId="0" applyFill="1" applyBorder="1" applyAlignment="1">
      <alignment/>
    </xf>
    <xf numFmtId="44" fontId="0" fillId="0" borderId="0" xfId="44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44" applyNumberFormat="1" applyFont="1" applyFill="1" applyBorder="1" applyAlignment="1">
      <alignment/>
    </xf>
    <xf numFmtId="44" fontId="2" fillId="0" borderId="10" xfId="44" applyFont="1" applyFill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 wrapText="1"/>
    </xf>
    <xf numFmtId="44" fontId="0" fillId="0" borderId="10" xfId="44" applyFont="1" applyFill="1" applyBorder="1" applyAlignment="1">
      <alignment wrapText="1"/>
    </xf>
    <xf numFmtId="44" fontId="0" fillId="0" borderId="10" xfId="0" applyNumberFormat="1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48" xfId="0" applyFill="1" applyBorder="1" applyAlignment="1">
      <alignment/>
    </xf>
    <xf numFmtId="0" fontId="0" fillId="0" borderId="10" xfId="0" applyBorder="1" applyAlignment="1">
      <alignment wrapText="1"/>
    </xf>
    <xf numFmtId="44" fontId="0" fillId="0" borderId="10" xfId="44" applyFont="1" applyFill="1" applyBorder="1" applyAlignment="1">
      <alignment/>
    </xf>
    <xf numFmtId="44" fontId="2" fillId="20" borderId="10" xfId="0" applyNumberFormat="1" applyFont="1" applyFill="1" applyBorder="1" applyAlignment="1">
      <alignment/>
    </xf>
    <xf numFmtId="44" fontId="2" fillId="20" borderId="10" xfId="44" applyFont="1" applyFill="1" applyBorder="1" applyAlignment="1">
      <alignment/>
    </xf>
    <xf numFmtId="0" fontId="2" fillId="0" borderId="10" xfId="0" applyFont="1" applyBorder="1" applyAlignment="1">
      <alignment/>
    </xf>
    <xf numFmtId="44" fontId="5" fillId="20" borderId="10" xfId="44" applyFont="1" applyFill="1" applyBorder="1" applyAlignment="1">
      <alignment/>
    </xf>
    <xf numFmtId="7" fontId="1" fillId="20" borderId="17" xfId="0" applyNumberFormat="1" applyFont="1" applyFill="1" applyBorder="1" applyAlignment="1" applyProtection="1">
      <alignment/>
      <protection/>
    </xf>
    <xf numFmtId="7" fontId="11" fillId="20" borderId="39" xfId="0" applyNumberFormat="1" applyFont="1" applyFill="1" applyBorder="1" applyAlignment="1" applyProtection="1">
      <alignment/>
      <protection/>
    </xf>
    <xf numFmtId="7" fontId="20" fillId="20" borderId="39" xfId="0" applyNumberFormat="1" applyFont="1" applyFill="1" applyBorder="1" applyAlignment="1" applyProtection="1">
      <alignment/>
      <protection/>
    </xf>
    <xf numFmtId="7" fontId="11" fillId="20" borderId="39" xfId="0" applyNumberFormat="1" applyFont="1" applyFill="1" applyBorder="1" applyAlignment="1">
      <alignment/>
    </xf>
    <xf numFmtId="7" fontId="0" fillId="0" borderId="36" xfId="0" applyNumberFormat="1" applyBorder="1" applyAlignment="1">
      <alignment/>
    </xf>
    <xf numFmtId="7" fontId="11" fillId="20" borderId="30" xfId="0" applyNumberFormat="1" applyFont="1" applyFill="1" applyBorder="1" applyAlignment="1">
      <alignment/>
    </xf>
    <xf numFmtId="7" fontId="1" fillId="20" borderId="15" xfId="0" applyNumberFormat="1" applyFont="1" applyFill="1" applyBorder="1" applyAlignment="1" applyProtection="1">
      <alignment/>
      <protection/>
    </xf>
    <xf numFmtId="7" fontId="1" fillId="20" borderId="15" xfId="0" applyNumberFormat="1" applyFont="1" applyFill="1" applyBorder="1" applyAlignment="1">
      <alignment/>
    </xf>
    <xf numFmtId="7" fontId="1" fillId="0" borderId="14" xfId="0" applyNumberFormat="1" applyFont="1" applyBorder="1" applyAlignment="1">
      <alignment/>
    </xf>
    <xf numFmtId="7" fontId="1" fillId="22" borderId="15" xfId="0" applyNumberFormat="1" applyFont="1" applyFill="1" applyBorder="1" applyAlignment="1">
      <alignment/>
    </xf>
    <xf numFmtId="7" fontId="1" fillId="20" borderId="23" xfId="0" applyNumberFormat="1" applyFont="1" applyFill="1" applyBorder="1" applyAlignment="1" applyProtection="1">
      <alignment/>
      <protection/>
    </xf>
    <xf numFmtId="7" fontId="1" fillId="0" borderId="14" xfId="0" applyNumberFormat="1" applyFont="1" applyBorder="1" applyAlignment="1" applyProtection="1">
      <alignment/>
      <protection/>
    </xf>
    <xf numFmtId="7" fontId="1" fillId="22" borderId="15" xfId="44" applyNumberFormat="1" applyFont="1" applyFill="1" applyBorder="1" applyAlignment="1" applyProtection="1">
      <alignment/>
      <protection/>
    </xf>
    <xf numFmtId="7" fontId="1" fillId="22" borderId="17" xfId="44" applyNumberFormat="1" applyFont="1" applyFill="1" applyBorder="1" applyAlignment="1" applyProtection="1">
      <alignment/>
      <protection/>
    </xf>
    <xf numFmtId="7" fontId="13" fillId="20" borderId="39" xfId="55" applyNumberFormat="1" applyFont="1" applyFill="1" applyBorder="1" applyProtection="1">
      <alignment/>
      <protection/>
    </xf>
    <xf numFmtId="7" fontId="1" fillId="0" borderId="17" xfId="0" applyNumberFormat="1" applyFont="1" applyBorder="1" applyAlignment="1">
      <alignment/>
    </xf>
    <xf numFmtId="7" fontId="0" fillId="0" borderId="14" xfId="0" applyNumberFormat="1" applyBorder="1" applyAlignment="1">
      <alignment/>
    </xf>
    <xf numFmtId="7" fontId="1" fillId="22" borderId="15" xfId="0" applyNumberFormat="1" applyFont="1" applyFill="1" applyBorder="1" applyAlignment="1" applyProtection="1">
      <alignment/>
      <protection locked="0"/>
    </xf>
    <xf numFmtId="7" fontId="13" fillId="20" borderId="39" xfId="55" applyNumberFormat="1" applyFont="1" applyFill="1" applyBorder="1">
      <alignment/>
      <protection/>
    </xf>
    <xf numFmtId="164" fontId="0" fillId="22" borderId="10" xfId="44" applyNumberFormat="1" applyFont="1" applyFill="1" applyBorder="1" applyAlignment="1" applyProtection="1">
      <alignment/>
      <protection locked="0"/>
    </xf>
    <xf numFmtId="164" fontId="0" fillId="22" borderId="40" xfId="44" applyNumberFormat="1" applyFont="1" applyFill="1" applyBorder="1" applyAlignment="1" applyProtection="1">
      <alignment/>
      <protection locked="0"/>
    </xf>
    <xf numFmtId="164" fontId="0" fillId="22" borderId="40" xfId="0" applyNumberFormat="1" applyFill="1" applyBorder="1" applyAlignment="1">
      <alignment/>
    </xf>
    <xf numFmtId="37" fontId="0" fillId="22" borderId="10" xfId="44" applyNumberFormat="1" applyFont="1" applyFill="1" applyBorder="1" applyAlignment="1" applyProtection="1">
      <alignment/>
      <protection locked="0"/>
    </xf>
    <xf numFmtId="44" fontId="0" fillId="22" borderId="10" xfId="44" applyFont="1" applyFill="1" applyBorder="1" applyAlignment="1">
      <alignment horizontal="right"/>
    </xf>
    <xf numFmtId="3" fontId="0" fillId="22" borderId="10" xfId="0" applyNumberFormat="1" applyFill="1" applyBorder="1" applyAlignment="1">
      <alignment horizontal="right"/>
    </xf>
    <xf numFmtId="37" fontId="0" fillId="22" borderId="10" xfId="44" applyNumberFormat="1" applyFont="1" applyFill="1" applyBorder="1" applyAlignment="1">
      <alignment horizontal="right"/>
    </xf>
    <xf numFmtId="164" fontId="0" fillId="22" borderId="10" xfId="0" applyNumberFormat="1" applyFill="1" applyBorder="1" applyAlignment="1">
      <alignment horizontal="right"/>
    </xf>
    <xf numFmtId="9" fontId="0" fillId="22" borderId="10" xfId="58" applyNumberFormat="1" applyFont="1" applyFill="1" applyBorder="1" applyAlignment="1" applyProtection="1">
      <alignment horizontal="center"/>
      <protection locked="0"/>
    </xf>
    <xf numFmtId="164" fontId="0" fillId="22" borderId="10" xfId="44" applyNumberFormat="1" applyFont="1" applyFill="1" applyBorder="1" applyAlignment="1" applyProtection="1">
      <alignment horizontal="center"/>
      <protection locked="0"/>
    </xf>
    <xf numFmtId="0" fontId="0" fillId="22" borderId="10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29" xfId="0" applyNumberFormat="1" applyBorder="1" applyAlignment="1">
      <alignment horizontal="left" vertical="top" wrapText="1"/>
    </xf>
    <xf numFmtId="164" fontId="0" fillId="0" borderId="20" xfId="0" applyNumberFormat="1" applyBorder="1" applyAlignment="1">
      <alignment horizontal="left" vertical="top" wrapText="1"/>
    </xf>
    <xf numFmtId="164" fontId="0" fillId="0" borderId="41" xfId="0" applyNumberFormat="1" applyBorder="1" applyAlignment="1">
      <alignment horizontal="left" vertical="top" wrapText="1"/>
    </xf>
    <xf numFmtId="164" fontId="0" fillId="0" borderId="50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5" fillId="20" borderId="10" xfId="44" applyNumberFormat="1" applyFont="1" applyFill="1" applyBorder="1" applyAlignment="1">
      <alignment horizontal="center"/>
    </xf>
    <xf numFmtId="164" fontId="5" fillId="20" borderId="29" xfId="44" applyNumberFormat="1" applyFont="1" applyFill="1" applyBorder="1" applyAlignment="1">
      <alignment horizontal="center"/>
    </xf>
    <xf numFmtId="164" fontId="2" fillId="20" borderId="10" xfId="44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20" borderId="29" xfId="0" applyNumberFormat="1" applyFill="1" applyBorder="1" applyAlignment="1">
      <alignment horizontal="center"/>
    </xf>
    <xf numFmtId="164" fontId="0" fillId="20" borderId="20" xfId="0" applyNumberFormat="1" applyFill="1" applyBorder="1" applyAlignment="1">
      <alignment horizontal="center"/>
    </xf>
    <xf numFmtId="164" fontId="0" fillId="20" borderId="4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20" borderId="10" xfId="44" applyNumberFormat="1" applyFont="1" applyFill="1" applyBorder="1" applyAlignment="1">
      <alignment horizontal="center"/>
    </xf>
    <xf numFmtId="164" fontId="0" fillId="20" borderId="29" xfId="44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164" fontId="0" fillId="2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left"/>
    </xf>
    <xf numFmtId="164" fontId="0" fillId="0" borderId="10" xfId="44" applyNumberFormat="1" applyFont="1" applyBorder="1" applyAlignment="1">
      <alignment horizontal="center"/>
    </xf>
    <xf numFmtId="164" fontId="0" fillId="0" borderId="29" xfId="44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 wrapText="1"/>
    </xf>
    <xf numFmtId="164" fontId="0" fillId="0" borderId="29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164" fontId="0" fillId="0" borderId="41" xfId="0" applyNumberFormat="1" applyBorder="1" applyAlignment="1">
      <alignment horizontal="left"/>
    </xf>
    <xf numFmtId="164" fontId="0" fillId="0" borderId="10" xfId="0" applyNumberFormat="1" applyBorder="1" applyAlignment="1">
      <alignment horizontal="left" wrapText="1"/>
    </xf>
    <xf numFmtId="164" fontId="0" fillId="0" borderId="0" xfId="0" applyNumberFormat="1" applyAlignment="1">
      <alignment horizontal="center"/>
    </xf>
    <xf numFmtId="164" fontId="0" fillId="0" borderId="46" xfId="58" applyNumberFormat="1" applyFont="1" applyFill="1" applyBorder="1" applyAlignment="1">
      <alignment horizontal="center"/>
    </xf>
    <xf numFmtId="164" fontId="0" fillId="0" borderId="0" xfId="58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2" fillId="20" borderId="29" xfId="44" applyNumberFormat="1" applyFont="1" applyFill="1" applyBorder="1" applyAlignment="1">
      <alignment horizontal="center"/>
    </xf>
    <xf numFmtId="164" fontId="22" fillId="20" borderId="20" xfId="44" applyNumberFormat="1" applyFont="1" applyFill="1" applyBorder="1" applyAlignment="1">
      <alignment horizontal="center"/>
    </xf>
    <xf numFmtId="164" fontId="22" fillId="20" borderId="41" xfId="44" applyNumberFormat="1" applyFont="1" applyFill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5" fillId="20" borderId="56" xfId="44" applyNumberFormat="1" applyFont="1" applyFill="1" applyBorder="1" applyAlignment="1">
      <alignment horizontal="center"/>
    </xf>
    <xf numFmtId="164" fontId="5" fillId="20" borderId="57" xfId="44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20" borderId="10" xfId="44" applyNumberFormat="1" applyFont="1" applyFill="1" applyBorder="1" applyAlignment="1">
      <alignment horizontal="center"/>
    </xf>
    <xf numFmtId="164" fontId="1" fillId="20" borderId="40" xfId="44" applyNumberFormat="1" applyFont="1" applyFill="1" applyBorder="1" applyAlignment="1">
      <alignment horizontal="center"/>
    </xf>
    <xf numFmtId="164" fontId="0" fillId="20" borderId="40" xfId="44" applyNumberFormat="1" applyFont="1" applyFill="1" applyBorder="1" applyAlignment="1">
      <alignment horizontal="center"/>
    </xf>
    <xf numFmtId="164" fontId="0" fillId="0" borderId="43" xfId="0" applyNumberFormat="1" applyBorder="1" applyAlignment="1">
      <alignment horizontal="left"/>
    </xf>
    <xf numFmtId="164" fontId="0" fillId="20" borderId="43" xfId="0" applyNumberFormat="1" applyFill="1" applyBorder="1" applyAlignment="1">
      <alignment horizontal="center"/>
    </xf>
    <xf numFmtId="164" fontId="0" fillId="20" borderId="58" xfId="0" applyNumberFormat="1" applyFill="1" applyBorder="1" applyAlignment="1">
      <alignment horizontal="center"/>
    </xf>
    <xf numFmtId="164" fontId="0" fillId="0" borderId="2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5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22" borderId="54" xfId="0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0" fontId="0" fillId="22" borderId="6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44" fontId="0" fillId="25" borderId="10" xfId="44" applyFont="1" applyFill="1" applyBorder="1" applyAlignment="1">
      <alignment horizontal="left" wrapText="1"/>
    </xf>
    <xf numFmtId="0" fontId="0" fillId="25" borderId="10" xfId="0" applyFill="1" applyBorder="1" applyAlignment="1">
      <alignment horizontal="right"/>
    </xf>
    <xf numFmtId="44" fontId="0" fillId="20" borderId="10" xfId="44" applyFont="1" applyFill="1" applyBorder="1" applyAlignment="1">
      <alignment horizontal="left"/>
    </xf>
    <xf numFmtId="44" fontId="0" fillId="0" borderId="10" xfId="44" applyFont="1" applyFill="1" applyBorder="1" applyAlignment="1">
      <alignment horizontal="center" vertical="center" wrapText="1"/>
    </xf>
    <xf numFmtId="164" fontId="0" fillId="0" borderId="10" xfId="4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2" borderId="29" xfId="0" applyFill="1" applyBorder="1" applyAlignment="1">
      <alignment horizontal="left"/>
    </xf>
    <xf numFmtId="0" fontId="0" fillId="22" borderId="41" xfId="0" applyFill="1" applyBorder="1" applyAlignment="1">
      <alignment horizontal="left"/>
    </xf>
    <xf numFmtId="37" fontId="1" fillId="22" borderId="29" xfId="0" applyNumberFormat="1" applyFont="1" applyFill="1" applyBorder="1" applyAlignment="1">
      <alignment horizontal="left"/>
    </xf>
    <xf numFmtId="37" fontId="1" fillId="22" borderId="41" xfId="0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44" fontId="1" fillId="22" borderId="10" xfId="44" applyFont="1" applyFill="1" applyBorder="1" applyAlignment="1">
      <alignment horizontal="center"/>
    </xf>
    <xf numFmtId="37" fontId="1" fillId="22" borderId="10" xfId="0" applyNumberFormat="1" applyFont="1" applyFill="1" applyBorder="1" applyAlignment="1">
      <alignment/>
    </xf>
    <xf numFmtId="37" fontId="1" fillId="22" borderId="29" xfId="0" applyNumberFormat="1" applyFont="1" applyFill="1" applyBorder="1" applyAlignment="1">
      <alignment/>
    </xf>
    <xf numFmtId="37" fontId="1" fillId="22" borderId="41" xfId="0" applyNumberFormat="1" applyFont="1" applyFill="1" applyBorder="1" applyAlignment="1">
      <alignment/>
    </xf>
    <xf numFmtId="0" fontId="1" fillId="22" borderId="29" xfId="0" applyFont="1" applyFill="1" applyBorder="1" applyAlignment="1">
      <alignment horizontal="left"/>
    </xf>
    <xf numFmtId="0" fontId="1" fillId="22" borderId="4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37" fontId="1" fillId="22" borderId="10" xfId="0" applyNumberFormat="1" applyFont="1" applyFill="1" applyBorder="1" applyAlignment="1">
      <alignment horizontal="left"/>
    </xf>
    <xf numFmtId="37" fontId="1" fillId="22" borderId="29" xfId="0" applyNumberFormat="1" applyFont="1" applyFill="1" applyBorder="1" applyAlignment="1">
      <alignment horizontal="center"/>
    </xf>
    <xf numFmtId="37" fontId="1" fillId="22" borderId="41" xfId="0" applyNumberFormat="1" applyFont="1" applyFill="1" applyBorder="1" applyAlignment="1">
      <alignment horizontal="center"/>
    </xf>
    <xf numFmtId="0" fontId="19" fillId="22" borderId="29" xfId="0" applyFont="1" applyFill="1" applyBorder="1" applyAlignment="1">
      <alignment horizontal="left"/>
    </xf>
    <xf numFmtId="0" fontId="19" fillId="22" borderId="41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3-Combined Comprehensive Financial Statemen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26">
      <selection activeCell="A25" sqref="A25"/>
    </sheetView>
  </sheetViews>
  <sheetFormatPr defaultColWidth="8.8515625" defaultRowHeight="12.75"/>
  <cols>
    <col min="1" max="1" width="1.1484375" style="0" customWidth="1"/>
    <col min="2" max="2" width="2.7109375" style="0" customWidth="1"/>
    <col min="3" max="3" width="9.421875" style="0" customWidth="1"/>
    <col min="4" max="4" width="10.8515625" style="0" customWidth="1"/>
    <col min="5" max="5" width="12.28125" style="0" bestFit="1" customWidth="1"/>
    <col min="6" max="6" width="2.7109375" style="0" customWidth="1"/>
    <col min="7" max="7" width="18.00390625" style="0" customWidth="1"/>
    <col min="8" max="8" width="14.140625" style="0" customWidth="1"/>
    <col min="9" max="9" width="6.28125" style="0" customWidth="1"/>
    <col min="10" max="10" width="9.421875" style="0" customWidth="1"/>
    <col min="11" max="11" width="10.7109375" style="0" customWidth="1"/>
    <col min="12" max="12" width="13.421875" style="0" customWidth="1"/>
    <col min="13" max="13" width="2.8515625" style="0" customWidth="1"/>
    <col min="14" max="14" width="17.28125" style="0" customWidth="1"/>
    <col min="15" max="15" width="14.140625" style="0" customWidth="1"/>
  </cols>
  <sheetData>
    <row r="1" spans="1:15" ht="15">
      <c r="A1" s="299" t="s">
        <v>67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3:15" ht="12">
      <c r="C2" s="300" t="s">
        <v>198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3:15" ht="4.5" customHeight="1"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2">
      <c r="B4" s="302" t="s">
        <v>178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</row>
    <row r="5" spans="2:15" ht="4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 thickTop="1">
      <c r="A6" s="4"/>
      <c r="B6" s="303" t="s">
        <v>68</v>
      </c>
      <c r="C6" s="304"/>
      <c r="D6" s="305" t="s">
        <v>74</v>
      </c>
      <c r="E6" s="306"/>
      <c r="F6" s="306"/>
      <c r="G6" s="306"/>
      <c r="H6" s="307"/>
      <c r="I6" s="303" t="s">
        <v>69</v>
      </c>
      <c r="J6" s="304"/>
      <c r="K6" s="305" t="s">
        <v>75</v>
      </c>
      <c r="L6" s="306"/>
      <c r="M6" s="306"/>
      <c r="N6" s="306"/>
      <c r="O6" s="307"/>
    </row>
    <row r="7" spans="1:15" ht="12">
      <c r="A7" s="4"/>
      <c r="B7" s="237" t="s">
        <v>158</v>
      </c>
      <c r="C7" s="237"/>
      <c r="D7" s="237"/>
      <c r="E7" s="238"/>
      <c r="F7" s="297" t="s">
        <v>168</v>
      </c>
      <c r="G7" s="237"/>
      <c r="H7" s="298"/>
      <c r="I7" s="237" t="s">
        <v>158</v>
      </c>
      <c r="J7" s="237"/>
      <c r="K7" s="237"/>
      <c r="L7" s="238"/>
      <c r="M7" s="297" t="s">
        <v>168</v>
      </c>
      <c r="N7" s="237"/>
      <c r="O7" s="298"/>
    </row>
    <row r="8" spans="1:15" ht="12">
      <c r="A8" s="4"/>
      <c r="B8" s="267" t="s">
        <v>159</v>
      </c>
      <c r="C8" s="267"/>
      <c r="D8" s="268"/>
      <c r="E8" s="218">
        <v>10000</v>
      </c>
      <c r="F8" s="266" t="s">
        <v>65</v>
      </c>
      <c r="G8" s="268"/>
      <c r="H8" s="219">
        <v>153075</v>
      </c>
      <c r="I8" s="267" t="s">
        <v>159</v>
      </c>
      <c r="J8" s="267"/>
      <c r="K8" s="268"/>
      <c r="L8" s="218">
        <v>15983</v>
      </c>
      <c r="M8" s="266" t="s">
        <v>65</v>
      </c>
      <c r="N8" s="268"/>
      <c r="O8" s="219">
        <v>245100</v>
      </c>
    </row>
    <row r="9" spans="1:15" ht="12">
      <c r="A9" s="4"/>
      <c r="B9" s="267" t="s">
        <v>160</v>
      </c>
      <c r="C9" s="267"/>
      <c r="D9" s="268"/>
      <c r="E9" s="218">
        <v>214438</v>
      </c>
      <c r="F9" s="266" t="s">
        <v>177</v>
      </c>
      <c r="G9" s="268"/>
      <c r="H9" s="219">
        <v>38775</v>
      </c>
      <c r="I9" s="267" t="s">
        <v>160</v>
      </c>
      <c r="J9" s="267"/>
      <c r="K9" s="268"/>
      <c r="L9" s="218">
        <v>463956</v>
      </c>
      <c r="M9" s="266" t="s">
        <v>177</v>
      </c>
      <c r="N9" s="268"/>
      <c r="O9" s="219">
        <v>44920</v>
      </c>
    </row>
    <row r="10" spans="1:15" ht="12">
      <c r="A10" s="4"/>
      <c r="B10" s="267" t="s">
        <v>161</v>
      </c>
      <c r="C10" s="267"/>
      <c r="D10" s="268"/>
      <c r="E10" s="218">
        <v>43120</v>
      </c>
      <c r="F10" s="266" t="s">
        <v>169</v>
      </c>
      <c r="G10" s="268"/>
      <c r="H10" s="219">
        <v>3500</v>
      </c>
      <c r="I10" s="267" t="s">
        <v>161</v>
      </c>
      <c r="J10" s="267"/>
      <c r="K10" s="268"/>
      <c r="L10" s="218">
        <v>39424</v>
      </c>
      <c r="M10" s="266" t="s">
        <v>169</v>
      </c>
      <c r="N10" s="268"/>
      <c r="O10" s="219">
        <v>7586</v>
      </c>
    </row>
    <row r="11" spans="1:15" ht="12">
      <c r="A11" s="4"/>
      <c r="B11" s="267" t="s">
        <v>162</v>
      </c>
      <c r="C11" s="267"/>
      <c r="D11" s="268"/>
      <c r="E11" s="218">
        <v>40000</v>
      </c>
      <c r="F11" s="266" t="s">
        <v>66</v>
      </c>
      <c r="G11" s="268"/>
      <c r="H11" s="219">
        <v>3000</v>
      </c>
      <c r="I11" s="267" t="s">
        <v>162</v>
      </c>
      <c r="J11" s="267"/>
      <c r="K11" s="268"/>
      <c r="L11" s="218">
        <v>72000</v>
      </c>
      <c r="M11" s="266" t="s">
        <v>66</v>
      </c>
      <c r="N11" s="268"/>
      <c r="O11" s="219">
        <v>6560</v>
      </c>
    </row>
    <row r="12" spans="1:15" ht="12">
      <c r="A12" s="4"/>
      <c r="B12" s="267" t="s">
        <v>163</v>
      </c>
      <c r="C12" s="267"/>
      <c r="D12" s="268"/>
      <c r="E12" s="218">
        <v>500</v>
      </c>
      <c r="F12" s="266" t="s">
        <v>163</v>
      </c>
      <c r="G12" s="268"/>
      <c r="H12" s="220">
        <v>64533</v>
      </c>
      <c r="I12" s="267" t="s">
        <v>163</v>
      </c>
      <c r="J12" s="267"/>
      <c r="K12" s="268"/>
      <c r="L12" s="218"/>
      <c r="M12" s="266" t="s">
        <v>163</v>
      </c>
      <c r="N12" s="268"/>
      <c r="O12" s="220">
        <v>69533</v>
      </c>
    </row>
    <row r="13" spans="1:15" ht="12">
      <c r="A13" s="4"/>
      <c r="B13" s="247"/>
      <c r="C13" s="247"/>
      <c r="D13" s="247"/>
      <c r="E13" s="153"/>
      <c r="F13" s="239"/>
      <c r="G13" s="240"/>
      <c r="H13" s="152"/>
      <c r="I13" s="247"/>
      <c r="J13" s="247"/>
      <c r="K13" s="247"/>
      <c r="L13" s="153"/>
      <c r="M13" s="239"/>
      <c r="N13" s="240"/>
      <c r="O13" s="152"/>
    </row>
    <row r="14" spans="1:15" ht="12">
      <c r="A14" s="4"/>
      <c r="B14" s="247" t="s">
        <v>176</v>
      </c>
      <c r="C14" s="247"/>
      <c r="D14" s="247"/>
      <c r="E14" s="240"/>
      <c r="F14" s="239" t="s">
        <v>170</v>
      </c>
      <c r="G14" s="247"/>
      <c r="H14" s="296"/>
      <c r="I14" s="247" t="s">
        <v>176</v>
      </c>
      <c r="J14" s="247"/>
      <c r="K14" s="247"/>
      <c r="L14" s="240"/>
      <c r="M14" s="239" t="s">
        <v>170</v>
      </c>
      <c r="N14" s="247"/>
      <c r="O14" s="296"/>
    </row>
    <row r="15" spans="1:15" ht="12">
      <c r="A15" s="4"/>
      <c r="B15" s="267" t="s">
        <v>164</v>
      </c>
      <c r="C15" s="267"/>
      <c r="D15" s="268"/>
      <c r="E15" s="218">
        <v>100250</v>
      </c>
      <c r="F15" s="266" t="s">
        <v>184</v>
      </c>
      <c r="G15" s="268"/>
      <c r="H15" s="219">
        <v>5000</v>
      </c>
      <c r="I15" s="267" t="s">
        <v>164</v>
      </c>
      <c r="J15" s="267"/>
      <c r="K15" s="268"/>
      <c r="L15" s="218">
        <v>99600</v>
      </c>
      <c r="M15" s="266" t="s">
        <v>184</v>
      </c>
      <c r="N15" s="268"/>
      <c r="O15" s="219"/>
    </row>
    <row r="16" spans="1:15" ht="12">
      <c r="A16" s="4"/>
      <c r="B16" s="267" t="s">
        <v>165</v>
      </c>
      <c r="C16" s="267"/>
      <c r="D16" s="268"/>
      <c r="E16" s="218">
        <v>324250</v>
      </c>
      <c r="F16" s="266" t="s">
        <v>185</v>
      </c>
      <c r="G16" s="268"/>
      <c r="H16" s="219">
        <v>99650</v>
      </c>
      <c r="I16" s="267" t="s">
        <v>165</v>
      </c>
      <c r="J16" s="267"/>
      <c r="K16" s="268"/>
      <c r="L16" s="218">
        <v>463500</v>
      </c>
      <c r="M16" s="266" t="s">
        <v>185</v>
      </c>
      <c r="N16" s="268"/>
      <c r="O16" s="219">
        <v>97000</v>
      </c>
    </row>
    <row r="17" spans="1:15" ht="12">
      <c r="A17" s="4"/>
      <c r="B17" s="267" t="s">
        <v>166</v>
      </c>
      <c r="C17" s="267"/>
      <c r="D17" s="268"/>
      <c r="E17" s="218">
        <v>0</v>
      </c>
      <c r="F17" s="266" t="s">
        <v>186</v>
      </c>
      <c r="G17" s="268"/>
      <c r="H17" s="219">
        <v>0</v>
      </c>
      <c r="I17" s="267" t="s">
        <v>166</v>
      </c>
      <c r="J17" s="267"/>
      <c r="K17" s="268"/>
      <c r="L17" s="218">
        <v>75000</v>
      </c>
      <c r="M17" s="266" t="s">
        <v>186</v>
      </c>
      <c r="N17" s="268"/>
      <c r="O17" s="219">
        <v>10700</v>
      </c>
    </row>
    <row r="18" spans="1:15" ht="12">
      <c r="A18" s="4"/>
      <c r="B18" s="267" t="s">
        <v>175</v>
      </c>
      <c r="C18" s="267"/>
      <c r="D18" s="268"/>
      <c r="E18" s="154">
        <f>D19*D20</f>
        <v>1074000</v>
      </c>
      <c r="F18" s="266" t="s">
        <v>187</v>
      </c>
      <c r="G18" s="268"/>
      <c r="H18" s="219">
        <v>347045</v>
      </c>
      <c r="I18" s="267" t="s">
        <v>76</v>
      </c>
      <c r="J18" s="267"/>
      <c r="K18" s="268"/>
      <c r="L18" s="154">
        <f>J19*L19</f>
        <v>1206000</v>
      </c>
      <c r="M18" s="266" t="s">
        <v>80</v>
      </c>
      <c r="N18" s="268"/>
      <c r="O18" s="219">
        <v>42000</v>
      </c>
    </row>
    <row r="19" spans="1:15" ht="12">
      <c r="A19" s="4"/>
      <c r="B19" s="294" t="s">
        <v>173</v>
      </c>
      <c r="C19" s="295"/>
      <c r="D19" s="221">
        <v>240</v>
      </c>
      <c r="E19" s="155"/>
      <c r="F19" s="266" t="s">
        <v>163</v>
      </c>
      <c r="G19" s="268"/>
      <c r="H19" s="219"/>
      <c r="I19" s="169" t="s">
        <v>173</v>
      </c>
      <c r="J19" s="224">
        <v>240</v>
      </c>
      <c r="K19" s="170" t="s">
        <v>174</v>
      </c>
      <c r="L19" s="225">
        <v>5025</v>
      </c>
      <c r="M19" s="266"/>
      <c r="N19" s="268"/>
      <c r="O19" s="219"/>
    </row>
    <row r="20" spans="1:15" ht="12">
      <c r="A20" s="4"/>
      <c r="B20" s="294" t="s">
        <v>174</v>
      </c>
      <c r="C20" s="295"/>
      <c r="D20" s="218">
        <v>4475</v>
      </c>
      <c r="E20" s="155"/>
      <c r="F20" s="239"/>
      <c r="G20" s="240"/>
      <c r="H20" s="219"/>
      <c r="I20" s="268" t="s">
        <v>77</v>
      </c>
      <c r="J20" s="262"/>
      <c r="K20" s="262"/>
      <c r="L20" s="171">
        <f>J21*L21</f>
        <v>0</v>
      </c>
      <c r="M20" s="239"/>
      <c r="N20" s="240"/>
      <c r="O20" s="219"/>
    </row>
    <row r="21" spans="1:15" ht="12">
      <c r="A21" s="4"/>
      <c r="B21" s="230"/>
      <c r="C21" s="231"/>
      <c r="D21" s="232"/>
      <c r="E21" s="155"/>
      <c r="F21" s="239"/>
      <c r="G21" s="240"/>
      <c r="H21" s="219"/>
      <c r="I21" s="169" t="s">
        <v>173</v>
      </c>
      <c r="J21" s="223"/>
      <c r="K21" s="170" t="s">
        <v>174</v>
      </c>
      <c r="L21" s="222"/>
      <c r="M21" s="239"/>
      <c r="N21" s="240"/>
      <c r="O21" s="219"/>
    </row>
    <row r="22" spans="1:15" ht="12">
      <c r="A22" s="4"/>
      <c r="B22" s="233"/>
      <c r="C22" s="234"/>
      <c r="D22" s="235"/>
      <c r="E22" s="155"/>
      <c r="F22" s="239"/>
      <c r="G22" s="240"/>
      <c r="H22" s="219"/>
      <c r="I22" s="268" t="s">
        <v>78</v>
      </c>
      <c r="J22" s="262"/>
      <c r="K22" s="262"/>
      <c r="L22" s="171">
        <f>J23*L23</f>
        <v>1206000</v>
      </c>
      <c r="M22" s="266" t="s">
        <v>81</v>
      </c>
      <c r="N22" s="268"/>
      <c r="O22" s="219">
        <v>288000</v>
      </c>
    </row>
    <row r="23" spans="1:15" ht="12">
      <c r="A23" s="4"/>
      <c r="B23" s="236"/>
      <c r="C23" s="237"/>
      <c r="D23" s="238"/>
      <c r="E23" s="155"/>
      <c r="F23" s="239"/>
      <c r="G23" s="240"/>
      <c r="H23" s="156"/>
      <c r="I23" s="169" t="s">
        <v>173</v>
      </c>
      <c r="J23" s="223">
        <v>240</v>
      </c>
      <c r="K23" s="170" t="s">
        <v>174</v>
      </c>
      <c r="L23" s="222">
        <v>5025</v>
      </c>
      <c r="M23" s="239"/>
      <c r="N23" s="240"/>
      <c r="O23" s="152"/>
    </row>
    <row r="24" spans="1:15" ht="12">
      <c r="A24" s="4"/>
      <c r="B24" s="267" t="s">
        <v>163</v>
      </c>
      <c r="C24" s="267"/>
      <c r="D24" s="268"/>
      <c r="E24" s="218"/>
      <c r="F24" s="239"/>
      <c r="G24" s="240"/>
      <c r="H24" s="156"/>
      <c r="I24" s="267" t="s">
        <v>163</v>
      </c>
      <c r="J24" s="267"/>
      <c r="K24" s="268"/>
      <c r="L24" s="218"/>
      <c r="M24" s="266" t="s">
        <v>163</v>
      </c>
      <c r="N24" s="268"/>
      <c r="O24" s="220"/>
    </row>
    <row r="25" spans="1:15" ht="12">
      <c r="A25" s="4"/>
      <c r="B25" s="247"/>
      <c r="C25" s="247"/>
      <c r="D25" s="240"/>
      <c r="E25" s="157"/>
      <c r="F25" s="239"/>
      <c r="G25" s="240"/>
      <c r="H25" s="156"/>
      <c r="I25" s="247"/>
      <c r="J25" s="247"/>
      <c r="K25" s="240"/>
      <c r="L25" s="157"/>
      <c r="M25" s="239"/>
      <c r="N25" s="240"/>
      <c r="O25" s="152"/>
    </row>
    <row r="26" spans="1:15" ht="12">
      <c r="A26" s="4"/>
      <c r="B26" s="158" t="s">
        <v>167</v>
      </c>
      <c r="C26" s="155"/>
      <c r="D26" s="155"/>
      <c r="E26" s="154">
        <f>E8+E9+E10+E11+E12+E15+E16+E17+E18+E24</f>
        <v>1806558</v>
      </c>
      <c r="F26" s="155" t="s">
        <v>171</v>
      </c>
      <c r="G26" s="155"/>
      <c r="H26" s="159">
        <f>H9+H8+H10+H11+H15+H16+H17+H18+H19+H12+H20+H21+H22</f>
        <v>714578</v>
      </c>
      <c r="I26" s="158" t="s">
        <v>167</v>
      </c>
      <c r="J26" s="155"/>
      <c r="K26" s="155"/>
      <c r="L26" s="154">
        <f>L8+L9+L10+L11+L12+L15+L16+L17+L18+L20+L22</f>
        <v>3641463</v>
      </c>
      <c r="M26" s="155" t="s">
        <v>171</v>
      </c>
      <c r="N26" s="155"/>
      <c r="O26" s="159">
        <f>O8+O9+O10+O11+O15+O16+O17+O18+O19+O12+O20+O21+O22+O24</f>
        <v>811399</v>
      </c>
    </row>
    <row r="27" spans="1:15" ht="12.75" thickBot="1">
      <c r="A27" s="4"/>
      <c r="B27" s="160" t="s">
        <v>172</v>
      </c>
      <c r="C27" s="161"/>
      <c r="D27" s="161"/>
      <c r="E27" s="162">
        <f>E26-H26</f>
        <v>1091980</v>
      </c>
      <c r="F27" s="244"/>
      <c r="G27" s="245"/>
      <c r="H27" s="246"/>
      <c r="I27" s="160" t="s">
        <v>172</v>
      </c>
      <c r="J27" s="161"/>
      <c r="K27" s="161"/>
      <c r="L27" s="162">
        <f>L26-O26</f>
        <v>2830064</v>
      </c>
      <c r="M27" s="244"/>
      <c r="N27" s="245"/>
      <c r="O27" s="246"/>
    </row>
    <row r="28" spans="1:15" ht="13.5" thickTop="1">
      <c r="A28" s="4"/>
      <c r="B28" s="283" t="s">
        <v>179</v>
      </c>
      <c r="C28" s="284"/>
      <c r="D28" s="284"/>
      <c r="E28" s="284"/>
      <c r="F28" s="284"/>
      <c r="G28" s="284"/>
      <c r="H28" s="285">
        <f>L27-E27</f>
        <v>1738084</v>
      </c>
      <c r="I28" s="285"/>
      <c r="J28" s="286"/>
      <c r="K28" s="287"/>
      <c r="L28" s="287"/>
      <c r="M28" s="287"/>
      <c r="N28" s="287"/>
      <c r="O28" s="287"/>
    </row>
    <row r="29" spans="1:15" ht="12">
      <c r="A29" s="4"/>
      <c r="B29" s="163"/>
      <c r="C29" s="262" t="s">
        <v>82</v>
      </c>
      <c r="D29" s="262"/>
      <c r="E29" s="262"/>
      <c r="F29" s="262"/>
      <c r="G29" s="262"/>
      <c r="H29" s="288">
        <f>((J19*L19)-O18)-((D19*D20)-H18)+(J21*L21)</f>
        <v>437045</v>
      </c>
      <c r="I29" s="288"/>
      <c r="J29" s="289"/>
      <c r="K29" s="287"/>
      <c r="L29" s="287"/>
      <c r="M29" s="287"/>
      <c r="N29" s="287"/>
      <c r="O29" s="287"/>
    </row>
    <row r="30" spans="1:15" ht="12">
      <c r="A30" s="4"/>
      <c r="B30" s="163"/>
      <c r="C30" s="262" t="s">
        <v>70</v>
      </c>
      <c r="D30" s="262"/>
      <c r="E30" s="262"/>
      <c r="F30" s="262"/>
      <c r="G30" s="262"/>
      <c r="H30" s="256">
        <f>((J23*L23)-O22)</f>
        <v>918000</v>
      </c>
      <c r="I30" s="256"/>
      <c r="J30" s="290"/>
      <c r="K30" s="287"/>
      <c r="L30" s="287"/>
      <c r="M30" s="287"/>
      <c r="N30" s="287"/>
      <c r="O30" s="287"/>
    </row>
    <row r="31" spans="1:15" ht="12.75" thickBot="1">
      <c r="A31" s="4"/>
      <c r="B31" s="165"/>
      <c r="C31" s="291" t="s">
        <v>71</v>
      </c>
      <c r="D31" s="291"/>
      <c r="E31" s="291"/>
      <c r="F31" s="291"/>
      <c r="G31" s="291"/>
      <c r="H31" s="292">
        <f>H28-H29-H30</f>
        <v>383039</v>
      </c>
      <c r="I31" s="292"/>
      <c r="J31" s="293"/>
      <c r="K31" s="287"/>
      <c r="L31" s="287"/>
      <c r="M31" s="287"/>
      <c r="N31" s="287"/>
      <c r="O31" s="287"/>
    </row>
    <row r="32" spans="1:15" ht="12.75" thickTop="1">
      <c r="A32" s="9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</row>
    <row r="33" spans="2:15" ht="12"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</row>
    <row r="34" spans="2:15" ht="12">
      <c r="B34" s="278" t="s">
        <v>180</v>
      </c>
      <c r="C34" s="278"/>
      <c r="D34" s="278"/>
      <c r="E34" s="278"/>
      <c r="F34" s="278"/>
      <c r="G34" s="278"/>
      <c r="H34" s="279"/>
      <c r="I34" s="166"/>
      <c r="J34" s="167"/>
      <c r="K34" s="240" t="s">
        <v>179</v>
      </c>
      <c r="L34" s="251"/>
      <c r="M34" s="251"/>
      <c r="N34" s="261">
        <f>H28</f>
        <v>1738084</v>
      </c>
      <c r="O34" s="261"/>
    </row>
    <row r="35" spans="2:15" ht="12">
      <c r="B35" s="164" t="s">
        <v>72</v>
      </c>
      <c r="H35" s="226">
        <v>0.7</v>
      </c>
      <c r="I35" s="271"/>
      <c r="J35" s="272"/>
      <c r="K35" s="273"/>
      <c r="L35" s="273"/>
      <c r="M35" s="273"/>
      <c r="N35" s="273"/>
      <c r="O35" s="273"/>
    </row>
    <row r="36" spans="2:15" ht="12">
      <c r="B36" s="155" t="s">
        <v>73</v>
      </c>
      <c r="C36" s="164"/>
      <c r="D36" s="164"/>
      <c r="E36" s="164"/>
      <c r="F36" s="164"/>
      <c r="G36" s="155"/>
      <c r="H36" s="168">
        <f>1-H35</f>
        <v>0.30000000000000004</v>
      </c>
      <c r="I36" s="271"/>
      <c r="J36" s="272"/>
      <c r="K36" s="274"/>
      <c r="L36" s="275"/>
      <c r="M36" s="275"/>
      <c r="N36" s="275"/>
      <c r="O36" s="276"/>
    </row>
    <row r="37" spans="3:15" ht="15">
      <c r="C37" s="155"/>
      <c r="D37" s="155"/>
      <c r="E37" s="155"/>
      <c r="F37" s="155"/>
      <c r="G37" s="155"/>
      <c r="I37" s="271"/>
      <c r="J37" s="272"/>
      <c r="K37" s="277" t="s">
        <v>181</v>
      </c>
      <c r="L37" s="277"/>
      <c r="M37" s="277"/>
      <c r="N37" s="277" t="s">
        <v>182</v>
      </c>
      <c r="O37" s="277"/>
    </row>
    <row r="38" spans="2:15" ht="38.25" customHeight="1">
      <c r="B38" s="241" t="s">
        <v>188</v>
      </c>
      <c r="C38" s="242"/>
      <c r="D38" s="242"/>
      <c r="E38" s="242"/>
      <c r="F38" s="242"/>
      <c r="G38" s="243"/>
      <c r="H38" s="227">
        <v>75000</v>
      </c>
      <c r="I38" s="271"/>
      <c r="J38" s="272"/>
      <c r="K38" s="280">
        <f>((H31+H30)*H35)+H29-H38</f>
        <v>1272772.2999999998</v>
      </c>
      <c r="L38" s="281"/>
      <c r="M38" s="282"/>
      <c r="N38" s="280">
        <f>((H31+H30)*H36)+H38</f>
        <v>465311.70000000007</v>
      </c>
      <c r="O38" s="282"/>
    </row>
    <row r="39" spans="2:15" ht="38.25" customHeight="1"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</row>
    <row r="40" spans="2:15" ht="12">
      <c r="B40" s="258" t="s">
        <v>183</v>
      </c>
      <c r="C40" s="258"/>
      <c r="D40" s="258"/>
      <c r="E40" s="258"/>
      <c r="F40" s="258"/>
      <c r="G40" s="258"/>
      <c r="H40" s="258"/>
      <c r="I40" s="259"/>
      <c r="J40" s="260" t="s">
        <v>189</v>
      </c>
      <c r="K40" s="260"/>
      <c r="L40" s="260" t="s">
        <v>190</v>
      </c>
      <c r="M40" s="265"/>
      <c r="N40" s="260" t="s">
        <v>197</v>
      </c>
      <c r="O40" s="260"/>
    </row>
    <row r="41" spans="2:15" ht="12">
      <c r="B41" s="155"/>
      <c r="C41" s="251"/>
      <c r="D41" s="251"/>
      <c r="E41" s="266" t="s">
        <v>196</v>
      </c>
      <c r="F41" s="267"/>
      <c r="G41" s="268"/>
      <c r="H41" s="228">
        <v>3</v>
      </c>
      <c r="I41" s="259"/>
      <c r="J41" s="260"/>
      <c r="K41" s="260"/>
      <c r="L41" s="260"/>
      <c r="M41" s="265"/>
      <c r="N41" s="260"/>
      <c r="O41" s="260"/>
    </row>
    <row r="42" spans="2:15" ht="12">
      <c r="B42" s="155"/>
      <c r="C42" s="261">
        <f>E27</f>
        <v>1091980</v>
      </c>
      <c r="D42" s="261"/>
      <c r="E42" s="269" t="s">
        <v>194</v>
      </c>
      <c r="F42" s="269"/>
      <c r="G42" s="269"/>
      <c r="H42" s="269"/>
      <c r="I42" s="259"/>
      <c r="J42" s="256">
        <f>C42/H41</f>
        <v>363993.3333333333</v>
      </c>
      <c r="K42" s="256"/>
      <c r="L42" s="256">
        <f>C42/H41</f>
        <v>363993.3333333333</v>
      </c>
      <c r="M42" s="257"/>
      <c r="N42" s="260"/>
      <c r="O42" s="260"/>
    </row>
    <row r="43" spans="2:15" ht="12">
      <c r="B43" s="155"/>
      <c r="C43" s="261">
        <f>K38</f>
        <v>1272772.2999999998</v>
      </c>
      <c r="D43" s="261"/>
      <c r="E43" s="262" t="s">
        <v>193</v>
      </c>
      <c r="F43" s="262"/>
      <c r="G43" s="262"/>
      <c r="H43" s="262"/>
      <c r="I43" s="259"/>
      <c r="J43" s="256">
        <f>C43/H41</f>
        <v>424257.4333333333</v>
      </c>
      <c r="K43" s="256"/>
      <c r="L43" s="256">
        <f>C43/H41</f>
        <v>424257.4333333333</v>
      </c>
      <c r="M43" s="257"/>
      <c r="N43" s="251"/>
      <c r="O43" s="251"/>
    </row>
    <row r="44" spans="2:15" ht="12">
      <c r="B44" s="155"/>
      <c r="C44" s="261">
        <f>N38</f>
        <v>465311.70000000007</v>
      </c>
      <c r="D44" s="261"/>
      <c r="E44" s="262" t="s">
        <v>192</v>
      </c>
      <c r="F44" s="262"/>
      <c r="G44" s="262"/>
      <c r="H44" s="262"/>
      <c r="I44" s="259"/>
      <c r="J44" s="256">
        <f>C44</f>
        <v>465311.70000000007</v>
      </c>
      <c r="K44" s="256"/>
      <c r="L44" s="263"/>
      <c r="M44" s="264"/>
      <c r="N44" s="251"/>
      <c r="O44" s="251"/>
    </row>
    <row r="45" spans="2:15" ht="12.75">
      <c r="B45" s="155"/>
      <c r="C45" s="251" t="s">
        <v>191</v>
      </c>
      <c r="D45" s="251"/>
      <c r="E45" s="251"/>
      <c r="F45" s="251"/>
      <c r="G45" s="251"/>
      <c r="H45" s="251"/>
      <c r="I45" s="259"/>
      <c r="J45" s="248">
        <f>SUM(J42:K44)</f>
        <v>1253562.4666666668</v>
      </c>
      <c r="K45" s="248"/>
      <c r="L45" s="248">
        <f>SUM(L42:M43)</f>
        <v>788250.7666666666</v>
      </c>
      <c r="M45" s="249"/>
      <c r="N45" s="250">
        <f>L45*(H41-1)</f>
        <v>1576501.5333333332</v>
      </c>
      <c r="O45" s="250"/>
    </row>
    <row r="46" spans="2:15" ht="12">
      <c r="B46" s="155"/>
      <c r="C46" s="251" t="s">
        <v>195</v>
      </c>
      <c r="D46" s="251"/>
      <c r="E46" s="251"/>
      <c r="F46" s="251"/>
      <c r="G46" s="251"/>
      <c r="H46" s="251"/>
      <c r="I46" s="259"/>
      <c r="J46" s="252">
        <f>J45+(L45*(H41-1))</f>
        <v>2830064</v>
      </c>
      <c r="K46" s="253"/>
      <c r="L46" s="253"/>
      <c r="M46" s="254"/>
      <c r="N46" s="255"/>
      <c r="O46" s="255"/>
    </row>
    <row r="47" ht="12">
      <c r="I47" s="9"/>
    </row>
    <row r="48" spans="4:7" ht="12">
      <c r="D48" t="s">
        <v>79</v>
      </c>
      <c r="F48" s="229" t="str">
        <f>D6</f>
        <v>Age 45</v>
      </c>
      <c r="G48" s="229"/>
    </row>
  </sheetData>
  <sheetProtection/>
  <mergeCells count="133">
    <mergeCell ref="A1:O1"/>
    <mergeCell ref="C2:O2"/>
    <mergeCell ref="B4:O4"/>
    <mergeCell ref="B6:C6"/>
    <mergeCell ref="D6:H6"/>
    <mergeCell ref="I6:J6"/>
    <mergeCell ref="K6:O6"/>
    <mergeCell ref="B7:E7"/>
    <mergeCell ref="F7:H7"/>
    <mergeCell ref="I7:L7"/>
    <mergeCell ref="M7:O7"/>
    <mergeCell ref="B8:D8"/>
    <mergeCell ref="F8:G8"/>
    <mergeCell ref="I8:K8"/>
    <mergeCell ref="M8:N8"/>
    <mergeCell ref="B9:D9"/>
    <mergeCell ref="F9:G9"/>
    <mergeCell ref="I9:K9"/>
    <mergeCell ref="M9:N9"/>
    <mergeCell ref="B10:D10"/>
    <mergeCell ref="F10:G10"/>
    <mergeCell ref="I10:K10"/>
    <mergeCell ref="M10:N10"/>
    <mergeCell ref="B11:D11"/>
    <mergeCell ref="F11:G11"/>
    <mergeCell ref="I11:K11"/>
    <mergeCell ref="M11:N11"/>
    <mergeCell ref="B12:D12"/>
    <mergeCell ref="F12:G12"/>
    <mergeCell ref="I12:K12"/>
    <mergeCell ref="M12:N12"/>
    <mergeCell ref="B13:D13"/>
    <mergeCell ref="F13:G13"/>
    <mergeCell ref="I13:K13"/>
    <mergeCell ref="M13:N13"/>
    <mergeCell ref="B14:E14"/>
    <mergeCell ref="F14:H14"/>
    <mergeCell ref="I14:L14"/>
    <mergeCell ref="M14:O14"/>
    <mergeCell ref="B15:D15"/>
    <mergeCell ref="F15:G15"/>
    <mergeCell ref="I15:K15"/>
    <mergeCell ref="M15:N15"/>
    <mergeCell ref="B16:D16"/>
    <mergeCell ref="F16:G16"/>
    <mergeCell ref="I16:K16"/>
    <mergeCell ref="M16:N16"/>
    <mergeCell ref="B17:D17"/>
    <mergeCell ref="F17:G17"/>
    <mergeCell ref="I17:K17"/>
    <mergeCell ref="M17:N17"/>
    <mergeCell ref="B19:C19"/>
    <mergeCell ref="F19:G19"/>
    <mergeCell ref="M19:N19"/>
    <mergeCell ref="B18:D18"/>
    <mergeCell ref="F18:G18"/>
    <mergeCell ref="I18:K18"/>
    <mergeCell ref="M18:N18"/>
    <mergeCell ref="B20:C20"/>
    <mergeCell ref="F23:G23"/>
    <mergeCell ref="M23:N23"/>
    <mergeCell ref="M22:N22"/>
    <mergeCell ref="M20:N20"/>
    <mergeCell ref="M21:N21"/>
    <mergeCell ref="I20:K20"/>
    <mergeCell ref="I22:K22"/>
    <mergeCell ref="F20:G20"/>
    <mergeCell ref="I25:K25"/>
    <mergeCell ref="M25:N25"/>
    <mergeCell ref="B24:D24"/>
    <mergeCell ref="F24:G24"/>
    <mergeCell ref="I24:K24"/>
    <mergeCell ref="M24:N24"/>
    <mergeCell ref="M27:O27"/>
    <mergeCell ref="B28:G28"/>
    <mergeCell ref="H28:J28"/>
    <mergeCell ref="K28:O31"/>
    <mergeCell ref="C29:G29"/>
    <mergeCell ref="H29:J29"/>
    <mergeCell ref="C30:G30"/>
    <mergeCell ref="H30:J30"/>
    <mergeCell ref="C31:G31"/>
    <mergeCell ref="H31:J31"/>
    <mergeCell ref="B32:O32"/>
    <mergeCell ref="B33:O33"/>
    <mergeCell ref="B34:H34"/>
    <mergeCell ref="K34:M34"/>
    <mergeCell ref="N34:O34"/>
    <mergeCell ref="K38:M38"/>
    <mergeCell ref="N38:O38"/>
    <mergeCell ref="B39:O39"/>
    <mergeCell ref="I35:J38"/>
    <mergeCell ref="K35:O35"/>
    <mergeCell ref="K36:O36"/>
    <mergeCell ref="K37:M37"/>
    <mergeCell ref="N37:O37"/>
    <mergeCell ref="L40:M41"/>
    <mergeCell ref="C43:D43"/>
    <mergeCell ref="E43:H43"/>
    <mergeCell ref="J43:K43"/>
    <mergeCell ref="L43:M43"/>
    <mergeCell ref="N40:O42"/>
    <mergeCell ref="C41:D41"/>
    <mergeCell ref="E41:G41"/>
    <mergeCell ref="C42:D42"/>
    <mergeCell ref="E42:H42"/>
    <mergeCell ref="J42:K42"/>
    <mergeCell ref="L42:M42"/>
    <mergeCell ref="B40:H40"/>
    <mergeCell ref="I40:I46"/>
    <mergeCell ref="J40:K41"/>
    <mergeCell ref="N43:O44"/>
    <mergeCell ref="C44:D44"/>
    <mergeCell ref="E44:H44"/>
    <mergeCell ref="J44:K44"/>
    <mergeCell ref="L44:M44"/>
    <mergeCell ref="L45:M45"/>
    <mergeCell ref="N45:O45"/>
    <mergeCell ref="C46:H46"/>
    <mergeCell ref="J46:M46"/>
    <mergeCell ref="N46:O46"/>
    <mergeCell ref="C45:H45"/>
    <mergeCell ref="J45:K45"/>
    <mergeCell ref="F48:G48"/>
    <mergeCell ref="B21:D21"/>
    <mergeCell ref="B22:D22"/>
    <mergeCell ref="B23:D23"/>
    <mergeCell ref="F21:G21"/>
    <mergeCell ref="F22:G22"/>
    <mergeCell ref="B38:G38"/>
    <mergeCell ref="F27:H27"/>
    <mergeCell ref="B25:D25"/>
    <mergeCell ref="F25:G25"/>
  </mergeCells>
  <printOptions/>
  <pageMargins left="0.75" right="0.75" top="1" bottom="1" header="0.5" footer="0.5"/>
  <pageSetup fitToHeight="1" fitToWidth="1" orientation="portrait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2"/>
  <sheetViews>
    <sheetView zoomScalePageLayoutView="0" workbookViewId="0" topLeftCell="B1">
      <selection activeCell="H28" sqref="H28"/>
    </sheetView>
  </sheetViews>
  <sheetFormatPr defaultColWidth="8.8515625" defaultRowHeight="12.75"/>
  <cols>
    <col min="1" max="1" width="2.140625" style="0" customWidth="1"/>
    <col min="2" max="2" width="28.8515625" style="0" customWidth="1"/>
    <col min="3" max="3" width="7.7109375" style="0" bestFit="1" customWidth="1"/>
    <col min="4" max="4" width="7.421875" style="0" customWidth="1"/>
    <col min="5" max="5" width="8.00390625" style="0" customWidth="1"/>
    <col min="6" max="6" width="12.7109375" style="0" bestFit="1" customWidth="1"/>
    <col min="7" max="7" width="2.140625" style="0" customWidth="1"/>
    <col min="8" max="8" width="16.00390625" style="0" customWidth="1"/>
    <col min="9" max="9" width="15.8515625" style="0" customWidth="1"/>
    <col min="10" max="10" width="14.421875" style="0" bestFit="1" customWidth="1"/>
    <col min="11" max="11" width="14.140625" style="0" bestFit="1" customWidth="1"/>
    <col min="12" max="13" width="11.8515625" style="0" customWidth="1"/>
  </cols>
  <sheetData>
    <row r="2" spans="8:14" ht="12">
      <c r="H2" s="180"/>
      <c r="I2" s="180"/>
      <c r="J2" s="172"/>
      <c r="K2" s="172"/>
      <c r="L2" s="172"/>
      <c r="M2" s="172"/>
      <c r="N2" s="172"/>
    </row>
    <row r="3" spans="8:14" ht="12">
      <c r="H3" s="313" t="s">
        <v>83</v>
      </c>
      <c r="I3" s="314" t="s">
        <v>84</v>
      </c>
      <c r="J3" s="183" t="s">
        <v>210</v>
      </c>
      <c r="L3" s="172"/>
      <c r="M3" s="172"/>
      <c r="N3" s="172"/>
    </row>
    <row r="4" spans="2:14" ht="15" customHeight="1">
      <c r="B4" s="1"/>
      <c r="C4" s="316" t="s">
        <v>207</v>
      </c>
      <c r="D4" s="316" t="s">
        <v>208</v>
      </c>
      <c r="E4" s="316" t="s">
        <v>209</v>
      </c>
      <c r="F4" s="316" t="s">
        <v>205</v>
      </c>
      <c r="H4" s="313"/>
      <c r="I4" s="314"/>
      <c r="J4" s="183">
        <v>3</v>
      </c>
      <c r="K4" s="172"/>
      <c r="L4" s="172"/>
      <c r="M4" s="172"/>
      <c r="N4" s="172"/>
    </row>
    <row r="5" spans="3:14" ht="12.75" customHeight="1">
      <c r="C5" s="316"/>
      <c r="D5" s="316"/>
      <c r="E5" s="316"/>
      <c r="F5" s="316"/>
      <c r="H5" s="313"/>
      <c r="I5" s="314"/>
      <c r="J5" s="184" t="s">
        <v>172</v>
      </c>
      <c r="L5" s="172"/>
      <c r="M5" s="172"/>
      <c r="N5" s="172"/>
    </row>
    <row r="6" spans="2:14" ht="12">
      <c r="B6" s="10" t="s">
        <v>7</v>
      </c>
      <c r="C6" s="191"/>
      <c r="D6" s="191"/>
      <c r="E6" s="191"/>
      <c r="F6" s="191"/>
      <c r="H6" s="185">
        <f>Distribution!$J$45</f>
        <v>1253562.4666666668</v>
      </c>
      <c r="I6" s="185">
        <f>Distribution!$L$45</f>
        <v>788250.7666666666</v>
      </c>
      <c r="J6" s="185">
        <f>Distribution!$J$46</f>
        <v>2830064</v>
      </c>
      <c r="K6" s="172"/>
      <c r="L6" s="172"/>
      <c r="M6" s="172"/>
      <c r="N6" s="172"/>
    </row>
    <row r="7" spans="2:14" ht="12">
      <c r="B7" s="1" t="s">
        <v>199</v>
      </c>
      <c r="C7" s="5">
        <v>10.31</v>
      </c>
      <c r="D7" s="2">
        <v>5</v>
      </c>
      <c r="E7" s="2">
        <v>50</v>
      </c>
      <c r="F7" s="6">
        <f>C7*D7*E7</f>
        <v>2577.5</v>
      </c>
      <c r="H7" s="182"/>
      <c r="I7" s="182"/>
      <c r="J7" s="182"/>
      <c r="K7" s="182"/>
      <c r="L7" s="182"/>
      <c r="M7" s="172"/>
      <c r="N7" s="172"/>
    </row>
    <row r="8" spans="2:14" ht="13.5" customHeight="1">
      <c r="B8" s="309" t="s">
        <v>200</v>
      </c>
      <c r="C8" s="310">
        <v>9.2</v>
      </c>
      <c r="D8" s="311">
        <v>3</v>
      </c>
      <c r="E8" s="311">
        <v>50</v>
      </c>
      <c r="F8" s="312">
        <f>C8*D8*E8</f>
        <v>1380</v>
      </c>
      <c r="H8" s="315" t="s">
        <v>0</v>
      </c>
      <c r="I8" s="315"/>
      <c r="J8" s="178"/>
      <c r="K8" s="178"/>
      <c r="L8" s="180"/>
      <c r="M8" s="172"/>
      <c r="N8" s="172"/>
    </row>
    <row r="9" spans="2:14" ht="26.25" customHeight="1">
      <c r="B9" s="309"/>
      <c r="C9" s="310"/>
      <c r="D9" s="311"/>
      <c r="E9" s="311"/>
      <c r="F9" s="312"/>
      <c r="H9" s="315"/>
      <c r="I9" s="315"/>
      <c r="J9" s="178"/>
      <c r="K9" s="178"/>
      <c r="L9" s="180"/>
      <c r="M9" s="172"/>
      <c r="N9" s="172"/>
    </row>
    <row r="10" spans="2:14" ht="12">
      <c r="B10" s="1" t="s">
        <v>201</v>
      </c>
      <c r="C10" s="5">
        <v>9.75</v>
      </c>
      <c r="D10" s="2">
        <v>3</v>
      </c>
      <c r="E10" s="2">
        <v>26</v>
      </c>
      <c r="F10" s="6">
        <f>C10*D10*E10</f>
        <v>760.5</v>
      </c>
      <c r="H10" s="175"/>
      <c r="I10" s="175"/>
      <c r="J10" s="175"/>
      <c r="K10" s="175"/>
      <c r="L10" s="177"/>
      <c r="M10" s="172"/>
      <c r="N10" s="172"/>
    </row>
    <row r="11" spans="2:14" ht="12">
      <c r="B11" s="1" t="s">
        <v>202</v>
      </c>
      <c r="C11" s="5">
        <v>10</v>
      </c>
      <c r="D11" s="2"/>
      <c r="E11" s="2"/>
      <c r="F11" s="6">
        <f aca="true" t="shared" si="0" ref="F11:F25">C11*D11*E11</f>
        <v>0</v>
      </c>
      <c r="H11" s="308" t="s">
        <v>1</v>
      </c>
      <c r="I11" s="308"/>
      <c r="J11" s="172"/>
      <c r="K11" s="172"/>
      <c r="L11" s="172"/>
      <c r="M11" s="172"/>
      <c r="N11" s="172"/>
    </row>
    <row r="12" spans="2:14" ht="12">
      <c r="B12" s="1" t="s">
        <v>203</v>
      </c>
      <c r="C12" s="5">
        <v>10.2</v>
      </c>
      <c r="D12" s="2">
        <v>2</v>
      </c>
      <c r="E12" s="2">
        <v>52</v>
      </c>
      <c r="F12" s="6">
        <f t="shared" si="0"/>
        <v>1060.8</v>
      </c>
      <c r="H12" s="186" t="s">
        <v>2</v>
      </c>
      <c r="I12" s="186" t="s">
        <v>3</v>
      </c>
      <c r="J12" s="182"/>
      <c r="K12" s="182"/>
      <c r="L12" s="172"/>
      <c r="M12" s="172"/>
      <c r="N12" s="172"/>
    </row>
    <row r="13" spans="2:14" ht="13.5" customHeight="1">
      <c r="B13" s="1" t="s">
        <v>204</v>
      </c>
      <c r="C13" s="5">
        <v>10</v>
      </c>
      <c r="D13" s="2">
        <v>0.5</v>
      </c>
      <c r="E13" s="2">
        <v>52</v>
      </c>
      <c r="F13" s="6">
        <f t="shared" si="0"/>
        <v>260</v>
      </c>
      <c r="H13" s="187">
        <f>H6+(F28*3)</f>
        <v>1306685.9266666668</v>
      </c>
      <c r="I13" s="188">
        <f>(J6-H13)/(J4-1)</f>
        <v>761689.0366666666</v>
      </c>
      <c r="J13" s="178"/>
      <c r="K13" s="178"/>
      <c r="L13" s="172"/>
      <c r="M13" s="172"/>
      <c r="N13" s="172"/>
    </row>
    <row r="14" spans="2:14" ht="13.5" customHeight="1">
      <c r="B14" s="1" t="s">
        <v>163</v>
      </c>
      <c r="C14" s="5"/>
      <c r="D14" s="2"/>
      <c r="E14" s="2"/>
      <c r="F14" s="6">
        <f t="shared" si="0"/>
        <v>0</v>
      </c>
      <c r="H14" s="178"/>
      <c r="I14" s="178"/>
      <c r="J14" s="178"/>
      <c r="K14" s="178"/>
      <c r="L14" s="173"/>
      <c r="M14" s="172"/>
      <c r="N14" s="172"/>
    </row>
    <row r="15" spans="2:14" ht="12">
      <c r="B15" s="1" t="s">
        <v>163</v>
      </c>
      <c r="C15" s="5"/>
      <c r="D15" s="2"/>
      <c r="E15" s="2"/>
      <c r="F15" s="6">
        <f t="shared" si="0"/>
        <v>0</v>
      </c>
      <c r="H15" s="308" t="s">
        <v>4</v>
      </c>
      <c r="I15" s="308"/>
      <c r="J15" s="175"/>
      <c r="K15" s="175"/>
      <c r="L15" s="172"/>
      <c r="M15" s="172"/>
      <c r="N15" s="172"/>
    </row>
    <row r="16" spans="2:14" ht="12">
      <c r="B16" s="1" t="s">
        <v>15</v>
      </c>
      <c r="C16" s="194"/>
      <c r="D16" s="183"/>
      <c r="E16" s="183"/>
      <c r="F16" s="196">
        <f>SUM(F7:F15)</f>
        <v>6038.8</v>
      </c>
      <c r="H16" s="186" t="s">
        <v>2</v>
      </c>
      <c r="I16" s="186" t="s">
        <v>3</v>
      </c>
      <c r="J16" s="172"/>
      <c r="K16" s="172"/>
      <c r="L16" s="172"/>
      <c r="M16" s="172"/>
      <c r="N16" s="172"/>
    </row>
    <row r="17" spans="2:9" ht="12">
      <c r="B17" s="1"/>
      <c r="C17" s="5"/>
      <c r="D17" s="2"/>
      <c r="E17" s="2"/>
      <c r="F17" s="6">
        <f t="shared" si="0"/>
        <v>0</v>
      </c>
      <c r="H17" s="189">
        <f>H6+(F28*5*1.06)</f>
        <v>1347413.9126666668</v>
      </c>
      <c r="I17" s="190">
        <f>(J6-H17)/(J4-1)</f>
        <v>741325.0436666666</v>
      </c>
    </row>
    <row r="18" spans="2:6" ht="12">
      <c r="B18" s="10" t="s">
        <v>8</v>
      </c>
      <c r="C18" s="5"/>
      <c r="D18" s="2"/>
      <c r="E18" s="2"/>
      <c r="F18" s="6">
        <f t="shared" si="0"/>
        <v>0</v>
      </c>
    </row>
    <row r="19" spans="2:9" ht="12">
      <c r="B19" s="1" t="s">
        <v>9</v>
      </c>
      <c r="C19" s="5">
        <v>27.93</v>
      </c>
      <c r="D19" s="2">
        <v>5</v>
      </c>
      <c r="E19" s="2">
        <v>52</v>
      </c>
      <c r="F19" s="6">
        <f t="shared" si="0"/>
        <v>7261.8</v>
      </c>
      <c r="H19" s="308" t="s">
        <v>5</v>
      </c>
      <c r="I19" s="308"/>
    </row>
    <row r="20" spans="2:9" ht="12">
      <c r="B20" s="192" t="s">
        <v>13</v>
      </c>
      <c r="C20" s="5">
        <v>36.73</v>
      </c>
      <c r="D20" s="2">
        <v>0.5</v>
      </c>
      <c r="E20" s="2">
        <v>26</v>
      </c>
      <c r="F20" s="6">
        <f t="shared" si="0"/>
        <v>477.48999999999995</v>
      </c>
      <c r="H20" s="186" t="s">
        <v>2</v>
      </c>
      <c r="I20" s="186" t="s">
        <v>3</v>
      </c>
    </row>
    <row r="21" spans="2:9" ht="12">
      <c r="B21" s="1" t="s">
        <v>10</v>
      </c>
      <c r="C21" s="5">
        <v>14.37</v>
      </c>
      <c r="D21" s="2">
        <v>0.5</v>
      </c>
      <c r="E21" s="2">
        <v>26</v>
      </c>
      <c r="F21" s="6">
        <f t="shared" si="0"/>
        <v>186.81</v>
      </c>
      <c r="H21" s="189">
        <f>H6+(F28*7*1.06)</f>
        <v>1384954.4910666668</v>
      </c>
      <c r="I21" s="190">
        <f>(J6-H21)/(J4-1)</f>
        <v>722554.7544666666</v>
      </c>
    </row>
    <row r="22" spans="2:6" ht="12">
      <c r="B22" s="1" t="s">
        <v>11</v>
      </c>
      <c r="C22" s="5">
        <v>11.7</v>
      </c>
      <c r="D22" s="2">
        <v>5</v>
      </c>
      <c r="E22" s="2">
        <v>50</v>
      </c>
      <c r="F22" s="6">
        <f t="shared" si="0"/>
        <v>2925</v>
      </c>
    </row>
    <row r="23" spans="2:9" ht="12">
      <c r="B23" s="1" t="s">
        <v>12</v>
      </c>
      <c r="C23" s="5">
        <v>15.11</v>
      </c>
      <c r="D23" s="2"/>
      <c r="E23" s="2"/>
      <c r="F23" s="6">
        <f t="shared" si="0"/>
        <v>0</v>
      </c>
      <c r="H23" s="308" t="s">
        <v>6</v>
      </c>
      <c r="I23" s="308"/>
    </row>
    <row r="24" spans="2:9" ht="24">
      <c r="B24" s="193" t="s">
        <v>14</v>
      </c>
      <c r="C24" s="5">
        <v>11.36</v>
      </c>
      <c r="D24" s="2">
        <v>3</v>
      </c>
      <c r="E24" s="2">
        <v>24</v>
      </c>
      <c r="F24" s="6">
        <f t="shared" si="0"/>
        <v>817.92</v>
      </c>
      <c r="H24" s="186" t="s">
        <v>2</v>
      </c>
      <c r="I24" s="186" t="s">
        <v>3</v>
      </c>
    </row>
    <row r="25" spans="2:9" ht="12">
      <c r="B25" s="1" t="s">
        <v>163</v>
      </c>
      <c r="C25" s="5"/>
      <c r="D25" s="2"/>
      <c r="E25" s="2"/>
      <c r="F25" s="6">
        <f t="shared" si="0"/>
        <v>0</v>
      </c>
      <c r="H25" s="189">
        <f>H6+(F28*10*1.06)</f>
        <v>1441265.3586666668</v>
      </c>
      <c r="I25" s="190">
        <f>(J6-H25)/(J4-1)</f>
        <v>694399.3206666666</v>
      </c>
    </row>
    <row r="26" spans="2:6" ht="12">
      <c r="B26" s="1" t="s">
        <v>163</v>
      </c>
      <c r="C26" s="5"/>
      <c r="D26" s="2"/>
      <c r="E26" s="2"/>
      <c r="F26" s="6">
        <f>C26*D26*E26</f>
        <v>0</v>
      </c>
    </row>
    <row r="27" spans="2:6" ht="12">
      <c r="B27" s="1" t="s">
        <v>16</v>
      </c>
      <c r="C27" s="1"/>
      <c r="D27" s="1"/>
      <c r="E27" s="1"/>
      <c r="F27" s="195">
        <f>SUM(F17:F26)</f>
        <v>11669.02</v>
      </c>
    </row>
    <row r="28" spans="2:6" ht="12.75">
      <c r="B28" s="197" t="s">
        <v>206</v>
      </c>
      <c r="C28" s="1"/>
      <c r="D28" s="1"/>
      <c r="E28" s="1"/>
      <c r="F28" s="198">
        <f>F16+F27</f>
        <v>17707.82</v>
      </c>
    </row>
    <row r="29" spans="2:6" ht="12">
      <c r="B29" s="172"/>
      <c r="C29" s="172"/>
      <c r="D29" s="172"/>
      <c r="E29" s="172"/>
      <c r="F29" s="172"/>
    </row>
    <row r="30" spans="2:6" ht="12">
      <c r="B30" s="172"/>
      <c r="C30" s="178"/>
      <c r="D30" s="178"/>
      <c r="E30" s="178"/>
      <c r="F30" s="178"/>
    </row>
    <row r="31" spans="2:6" ht="12">
      <c r="B31" s="174"/>
      <c r="C31" s="178"/>
      <c r="D31" s="178"/>
      <c r="E31" s="178"/>
      <c r="F31" s="178"/>
    </row>
    <row r="32" spans="2:6" ht="12">
      <c r="B32" s="172"/>
      <c r="C32" s="175"/>
      <c r="D32" s="172"/>
      <c r="E32" s="172"/>
      <c r="F32" s="175"/>
    </row>
    <row r="33" spans="2:6" ht="12">
      <c r="B33" s="178"/>
      <c r="C33" s="179"/>
      <c r="D33" s="180"/>
      <c r="E33" s="180"/>
      <c r="F33" s="181"/>
    </row>
    <row r="34" spans="2:6" ht="12">
      <c r="B34" s="178"/>
      <c r="C34" s="179"/>
      <c r="D34" s="180"/>
      <c r="E34" s="180"/>
      <c r="F34" s="181"/>
    </row>
    <row r="35" spans="2:6" ht="12">
      <c r="B35" s="172"/>
      <c r="C35" s="175"/>
      <c r="D35" s="172"/>
      <c r="E35" s="172"/>
      <c r="F35" s="175"/>
    </row>
    <row r="36" spans="2:6" ht="12">
      <c r="B36" s="172"/>
      <c r="C36" s="175"/>
      <c r="D36" s="172"/>
      <c r="E36" s="172"/>
      <c r="F36" s="175"/>
    </row>
    <row r="37" spans="2:6" ht="12">
      <c r="B37" s="172"/>
      <c r="C37" s="175"/>
      <c r="D37" s="172"/>
      <c r="E37" s="172"/>
      <c r="F37" s="175"/>
    </row>
    <row r="38" spans="2:6" ht="12">
      <c r="B38" s="172"/>
      <c r="C38" s="175"/>
      <c r="D38" s="172"/>
      <c r="E38" s="172"/>
      <c r="F38" s="175"/>
    </row>
    <row r="39" spans="2:6" ht="12">
      <c r="B39" s="172"/>
      <c r="C39" s="175"/>
      <c r="D39" s="172"/>
      <c r="E39" s="172"/>
      <c r="F39" s="175"/>
    </row>
    <row r="40" spans="2:6" ht="12">
      <c r="B40" s="172"/>
      <c r="C40" s="175"/>
      <c r="D40" s="172"/>
      <c r="E40" s="172"/>
      <c r="F40" s="175"/>
    </row>
    <row r="41" spans="2:6" ht="12">
      <c r="B41" s="172"/>
      <c r="C41" s="175"/>
      <c r="D41" s="172"/>
      <c r="E41" s="172"/>
      <c r="F41" s="175"/>
    </row>
    <row r="42" spans="2:6" ht="12">
      <c r="B42" s="176"/>
      <c r="C42" s="172"/>
      <c r="D42" s="172"/>
      <c r="E42" s="172"/>
      <c r="F42" s="175"/>
    </row>
  </sheetData>
  <sheetProtection/>
  <mergeCells count="16">
    <mergeCell ref="H3:H5"/>
    <mergeCell ref="I3:I5"/>
    <mergeCell ref="H8:I9"/>
    <mergeCell ref="H11:I11"/>
    <mergeCell ref="C4:C5"/>
    <mergeCell ref="D4:D5"/>
    <mergeCell ref="E4:E5"/>
    <mergeCell ref="F4:F5"/>
    <mergeCell ref="H23:I23"/>
    <mergeCell ref="B8:B9"/>
    <mergeCell ref="C8:C9"/>
    <mergeCell ref="D8:D9"/>
    <mergeCell ref="E8:E9"/>
    <mergeCell ref="F8:F9"/>
    <mergeCell ref="H15:I15"/>
    <mergeCell ref="H19:I19"/>
  </mergeCells>
  <printOptions/>
  <pageMargins left="0.46" right="0.45" top="1" bottom="1" header="0.5" footer="0.5"/>
  <pageSetup orientation="landscape"/>
  <ignoredErrors>
    <ignoredError sqref="F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zoomScale="75" zoomScaleNormal="75" zoomScalePageLayoutView="0" workbookViewId="0" topLeftCell="B5">
      <selection activeCell="N5" sqref="N5"/>
    </sheetView>
  </sheetViews>
  <sheetFormatPr defaultColWidth="9.140625" defaultRowHeight="12.75"/>
  <cols>
    <col min="1" max="1" width="2.421875" style="9" customWidth="1"/>
    <col min="2" max="2" width="12.421875" style="9" customWidth="1"/>
    <col min="3" max="3" width="12.00390625" style="9" customWidth="1"/>
    <col min="4" max="4" width="10.421875" style="9" customWidth="1"/>
    <col min="5" max="5" width="12.7109375" style="9" customWidth="1"/>
    <col min="6" max="6" width="12.28125" style="9" bestFit="1" customWidth="1"/>
    <col min="7" max="7" width="12.8515625" style="9" bestFit="1" customWidth="1"/>
    <col min="8" max="8" width="15.7109375" style="9" bestFit="1" customWidth="1"/>
    <col min="9" max="9" width="10.28125" style="9" customWidth="1"/>
    <col min="10" max="10" width="21.421875" style="9" customWidth="1"/>
    <col min="11" max="11" width="17.28125" style="9" bestFit="1" customWidth="1"/>
    <col min="12" max="12" width="16.7109375" style="9" bestFit="1" customWidth="1"/>
    <col min="13" max="13" width="15.00390625" style="9" bestFit="1" customWidth="1"/>
    <col min="14" max="14" width="15.7109375" style="9" bestFit="1" customWidth="1"/>
    <col min="15" max="16384" width="9.140625" style="9" customWidth="1"/>
  </cols>
  <sheetData>
    <row r="1" spans="2:8" ht="16.5">
      <c r="B1" s="321" t="s">
        <v>61</v>
      </c>
      <c r="C1" s="321"/>
      <c r="D1" s="321"/>
      <c r="E1" s="321"/>
      <c r="F1" s="321"/>
      <c r="G1" s="321"/>
      <c r="H1" s="321"/>
    </row>
    <row r="2" spans="9:10" ht="12">
      <c r="I2" s="9" t="s">
        <v>32</v>
      </c>
      <c r="J2" s="41">
        <v>39448</v>
      </c>
    </row>
    <row r="3" ht="12.75" thickBot="1"/>
    <row r="4" spans="2:14" ht="15">
      <c r="B4" s="108" t="s">
        <v>218</v>
      </c>
      <c r="C4" s="109"/>
      <c r="D4" s="109"/>
      <c r="E4" s="110" t="s">
        <v>219</v>
      </c>
      <c r="F4" s="110"/>
      <c r="G4" s="111"/>
      <c r="H4" s="112" t="s">
        <v>220</v>
      </c>
      <c r="I4" s="109" t="s">
        <v>49</v>
      </c>
      <c r="J4" s="113"/>
      <c r="K4" s="110"/>
      <c r="L4" s="110"/>
      <c r="M4" s="110"/>
      <c r="N4" s="112" t="s">
        <v>220</v>
      </c>
    </row>
    <row r="5" spans="2:14" ht="12">
      <c r="B5" s="11" t="s">
        <v>85</v>
      </c>
      <c r="C5" s="29"/>
      <c r="D5" s="29"/>
      <c r="E5" s="12"/>
      <c r="F5" s="12"/>
      <c r="G5" s="32"/>
      <c r="H5" s="13"/>
      <c r="I5" s="29" t="s">
        <v>86</v>
      </c>
      <c r="J5" s="29"/>
      <c r="K5" s="12"/>
      <c r="L5" s="12"/>
      <c r="M5" s="12"/>
      <c r="N5" s="13"/>
    </row>
    <row r="6" spans="2:14" ht="12">
      <c r="B6" s="34" t="s">
        <v>87</v>
      </c>
      <c r="C6" s="23"/>
      <c r="D6" s="23"/>
      <c r="E6" s="23"/>
      <c r="F6" s="23"/>
      <c r="G6" s="35"/>
      <c r="H6" s="96">
        <v>10000</v>
      </c>
      <c r="I6" s="24" t="s">
        <v>28</v>
      </c>
      <c r="J6" s="24"/>
      <c r="K6" s="24"/>
      <c r="L6" s="24"/>
      <c r="M6" s="24"/>
      <c r="N6" s="208">
        <v>3500</v>
      </c>
    </row>
    <row r="7" spans="2:14" ht="12">
      <c r="B7" s="34" t="s">
        <v>130</v>
      </c>
      <c r="C7" s="23"/>
      <c r="D7" s="23"/>
      <c r="E7" s="23"/>
      <c r="F7" s="23"/>
      <c r="G7" s="50"/>
      <c r="H7" s="205">
        <f>F9+F10+F11+F12+F13</f>
        <v>214437.5</v>
      </c>
      <c r="I7" s="24" t="s">
        <v>29</v>
      </c>
      <c r="J7" s="24"/>
      <c r="K7" s="24"/>
      <c r="L7" s="24"/>
      <c r="M7" s="24"/>
      <c r="N7" s="208">
        <v>3000</v>
      </c>
    </row>
    <row r="8" spans="2:14" ht="12">
      <c r="B8" s="14"/>
      <c r="C8" s="1" t="s">
        <v>128</v>
      </c>
      <c r="D8" s="63" t="s">
        <v>127</v>
      </c>
      <c r="E8" s="63" t="s">
        <v>129</v>
      </c>
      <c r="F8" s="63" t="s">
        <v>137</v>
      </c>
      <c r="G8" s="33"/>
      <c r="H8" s="98"/>
      <c r="I8" s="24" t="s">
        <v>36</v>
      </c>
      <c r="J8" s="24"/>
      <c r="K8" s="24"/>
      <c r="L8" s="24"/>
      <c r="M8" s="24"/>
      <c r="N8" s="214"/>
    </row>
    <row r="9" spans="2:14" ht="12">
      <c r="B9" s="14"/>
      <c r="C9" s="64" t="s">
        <v>138</v>
      </c>
      <c r="D9" s="64">
        <v>15000</v>
      </c>
      <c r="E9" s="65">
        <v>4.73</v>
      </c>
      <c r="F9" s="67">
        <f>D9*E9</f>
        <v>70950</v>
      </c>
      <c r="G9" s="33"/>
      <c r="H9" s="98"/>
      <c r="I9" s="16"/>
      <c r="J9" s="70" t="s">
        <v>144</v>
      </c>
      <c r="K9" s="70" t="s">
        <v>31</v>
      </c>
      <c r="L9" s="70" t="s">
        <v>35</v>
      </c>
      <c r="N9" s="207"/>
    </row>
    <row r="10" spans="2:14" ht="12">
      <c r="B10" s="14"/>
      <c r="C10" s="64" t="s">
        <v>139</v>
      </c>
      <c r="D10" s="64">
        <v>11250</v>
      </c>
      <c r="E10" s="65">
        <v>12.35</v>
      </c>
      <c r="F10" s="67">
        <f>D10*E10</f>
        <v>138937.5</v>
      </c>
      <c r="G10" s="33"/>
      <c r="H10" s="98"/>
      <c r="I10" s="16"/>
      <c r="J10" s="77" t="s">
        <v>33</v>
      </c>
      <c r="K10" s="37">
        <v>100000</v>
      </c>
      <c r="L10" s="37">
        <v>3000</v>
      </c>
      <c r="N10" s="207"/>
    </row>
    <row r="11" spans="2:14" ht="12">
      <c r="B11" s="14"/>
      <c r="C11" s="64" t="s">
        <v>140</v>
      </c>
      <c r="D11" s="64">
        <v>65</v>
      </c>
      <c r="E11" s="65">
        <v>70</v>
      </c>
      <c r="F11" s="67">
        <f>D11*E11</f>
        <v>4550</v>
      </c>
      <c r="G11" s="33"/>
      <c r="H11" s="98"/>
      <c r="I11" s="16"/>
      <c r="J11" s="77"/>
      <c r="K11" s="37"/>
      <c r="L11" s="37"/>
      <c r="N11" s="207"/>
    </row>
    <row r="12" spans="2:14" ht="12">
      <c r="B12" s="14"/>
      <c r="C12" s="64"/>
      <c r="D12" s="64"/>
      <c r="E12" s="65"/>
      <c r="F12" s="67">
        <f>D12*E12</f>
        <v>0</v>
      </c>
      <c r="G12" s="33"/>
      <c r="H12" s="98"/>
      <c r="I12" s="16"/>
      <c r="J12" s="77"/>
      <c r="K12" s="37"/>
      <c r="L12" s="37"/>
      <c r="N12" s="207"/>
    </row>
    <row r="13" spans="2:14" ht="12">
      <c r="B13" s="14"/>
      <c r="C13" s="64"/>
      <c r="D13" s="64"/>
      <c r="E13" s="65"/>
      <c r="F13" s="67">
        <f>D13*E13</f>
        <v>0</v>
      </c>
      <c r="G13" s="33"/>
      <c r="H13" s="98"/>
      <c r="J13" s="69"/>
      <c r="K13" s="69"/>
      <c r="L13" s="69"/>
      <c r="N13" s="215"/>
    </row>
    <row r="14" spans="2:14" ht="12">
      <c r="B14" s="34" t="s">
        <v>131</v>
      </c>
      <c r="C14" s="23"/>
      <c r="D14" s="23"/>
      <c r="E14" s="23"/>
      <c r="F14" s="23"/>
      <c r="G14" s="50"/>
      <c r="H14" s="96">
        <v>500</v>
      </c>
      <c r="J14" s="73"/>
      <c r="K14" s="73"/>
      <c r="L14" s="73"/>
      <c r="N14" s="215"/>
    </row>
    <row r="15" spans="2:14" ht="12">
      <c r="B15" s="34" t="s">
        <v>132</v>
      </c>
      <c r="C15" s="23"/>
      <c r="D15" s="23"/>
      <c r="E15" s="23"/>
      <c r="F15" s="23"/>
      <c r="G15" s="50"/>
      <c r="H15" s="96">
        <v>40000</v>
      </c>
      <c r="I15" s="24" t="s">
        <v>31</v>
      </c>
      <c r="J15" s="24"/>
      <c r="K15" s="24"/>
      <c r="L15" s="24"/>
      <c r="M15" s="24"/>
      <c r="N15" s="206">
        <f>K10+K11+K12+K13+K14</f>
        <v>100000</v>
      </c>
    </row>
    <row r="16" spans="2:14" ht="12">
      <c r="B16" s="116" t="s">
        <v>141</v>
      </c>
      <c r="C16" s="51"/>
      <c r="D16" s="51"/>
      <c r="E16" s="51"/>
      <c r="F16" s="51"/>
      <c r="G16" s="52"/>
      <c r="H16" s="209">
        <f>G18+G19+G20</f>
        <v>43120.00000000001</v>
      </c>
      <c r="I16" s="24" t="s">
        <v>30</v>
      </c>
      <c r="J16" s="24"/>
      <c r="K16" s="24"/>
      <c r="L16" s="24"/>
      <c r="M16" s="24"/>
      <c r="N16" s="206">
        <f>L10+L11+L12+L13+L14</f>
        <v>3000</v>
      </c>
    </row>
    <row r="17" spans="2:14" ht="12">
      <c r="B17" s="14"/>
      <c r="C17" s="63" t="s">
        <v>133</v>
      </c>
      <c r="D17" s="63" t="s">
        <v>127</v>
      </c>
      <c r="E17" s="63" t="s">
        <v>136</v>
      </c>
      <c r="F17" s="66" t="s">
        <v>135</v>
      </c>
      <c r="G17" s="74" t="s">
        <v>137</v>
      </c>
      <c r="H17" s="210"/>
      <c r="I17" s="24" t="s">
        <v>38</v>
      </c>
      <c r="J17" s="36"/>
      <c r="K17" s="24"/>
      <c r="L17" s="24"/>
      <c r="M17" s="24"/>
      <c r="N17" s="206">
        <f>L43</f>
        <v>53075</v>
      </c>
    </row>
    <row r="18" spans="2:14" ht="12">
      <c r="B18" s="14"/>
      <c r="C18" s="64" t="s">
        <v>211</v>
      </c>
      <c r="D18" s="64">
        <v>70</v>
      </c>
      <c r="E18" s="64">
        <v>550</v>
      </c>
      <c r="F18" s="65">
        <v>1.12</v>
      </c>
      <c r="G18" s="75">
        <f>D18*E18*F18</f>
        <v>43120.00000000001</v>
      </c>
      <c r="H18" s="210"/>
      <c r="I18" s="24" t="s">
        <v>37</v>
      </c>
      <c r="J18" s="24"/>
      <c r="K18" s="24"/>
      <c r="L18" s="24"/>
      <c r="M18" s="24"/>
      <c r="N18" s="206">
        <f>M43</f>
        <v>35775</v>
      </c>
    </row>
    <row r="19" spans="2:14" ht="12">
      <c r="B19" s="14"/>
      <c r="C19" s="64"/>
      <c r="D19" s="64"/>
      <c r="E19" s="64"/>
      <c r="F19" s="65"/>
      <c r="G19" s="75">
        <f>D19*E19*F19</f>
        <v>0</v>
      </c>
      <c r="H19" s="210"/>
      <c r="N19" s="215"/>
    </row>
    <row r="20" spans="2:14" ht="12">
      <c r="B20" s="14"/>
      <c r="C20" s="64"/>
      <c r="D20" s="64"/>
      <c r="E20" s="64"/>
      <c r="F20" s="65"/>
      <c r="G20" s="75">
        <f>D20*E20*F20</f>
        <v>0</v>
      </c>
      <c r="H20" s="210"/>
      <c r="I20" s="53" t="s">
        <v>47</v>
      </c>
      <c r="J20" s="24"/>
      <c r="K20" s="24"/>
      <c r="L20" s="24"/>
      <c r="M20" s="24"/>
      <c r="N20" s="208">
        <v>64533</v>
      </c>
    </row>
    <row r="21" spans="2:14" ht="12">
      <c r="B21" s="34" t="s">
        <v>142</v>
      </c>
      <c r="C21" s="23"/>
      <c r="D21" s="23"/>
      <c r="E21" s="23"/>
      <c r="F21" s="23"/>
      <c r="G21" s="50"/>
      <c r="H21" s="211"/>
      <c r="I21" s="53" t="s">
        <v>89</v>
      </c>
      <c r="J21" s="53"/>
      <c r="K21" s="53"/>
      <c r="L21" s="53"/>
      <c r="M21" s="53"/>
      <c r="N21" s="216"/>
    </row>
    <row r="22" spans="2:14" ht="12">
      <c r="B22" s="34" t="s">
        <v>143</v>
      </c>
      <c r="C22" s="23"/>
      <c r="D22" s="23"/>
      <c r="E22" s="23"/>
      <c r="F22" s="23"/>
      <c r="G22" s="50"/>
      <c r="H22" s="211"/>
      <c r="I22" s="16"/>
      <c r="J22" s="16"/>
      <c r="K22" s="16"/>
      <c r="L22" s="16"/>
      <c r="M22" s="16"/>
      <c r="N22" s="207"/>
    </row>
    <row r="23" spans="2:14" ht="12.75" thickBot="1">
      <c r="B23" s="118" t="s">
        <v>88</v>
      </c>
      <c r="C23" s="55"/>
      <c r="D23" s="55"/>
      <c r="E23" s="55"/>
      <c r="F23" s="55"/>
      <c r="G23" s="56"/>
      <c r="H23" s="212"/>
      <c r="N23" s="215"/>
    </row>
    <row r="24" spans="2:14" ht="13.5" thickBot="1">
      <c r="B24" s="57" t="s">
        <v>90</v>
      </c>
      <c r="C24" s="58"/>
      <c r="D24" s="58"/>
      <c r="E24" s="59"/>
      <c r="F24" s="59"/>
      <c r="G24" s="60"/>
      <c r="H24" s="213">
        <f>SUM(H6:H23)</f>
        <v>308057.5</v>
      </c>
      <c r="I24" s="61" t="s">
        <v>91</v>
      </c>
      <c r="J24" s="61"/>
      <c r="K24" s="62"/>
      <c r="L24" s="62"/>
      <c r="M24" s="62"/>
      <c r="N24" s="217">
        <f>SUM(N6:N22)</f>
        <v>262883</v>
      </c>
    </row>
    <row r="25" spans="2:14" ht="12">
      <c r="B25" s="119" t="s">
        <v>92</v>
      </c>
      <c r="C25" s="43"/>
      <c r="D25" s="43"/>
      <c r="E25" s="15"/>
      <c r="F25" s="15"/>
      <c r="G25" s="42"/>
      <c r="H25" s="210"/>
      <c r="I25" s="44" t="s">
        <v>93</v>
      </c>
      <c r="J25" s="44"/>
      <c r="K25" s="16"/>
      <c r="L25" s="16"/>
      <c r="M25" s="16"/>
      <c r="N25" s="17"/>
    </row>
    <row r="26" spans="2:14" ht="12">
      <c r="B26" s="34" t="s">
        <v>150</v>
      </c>
      <c r="C26" s="23"/>
      <c r="D26" s="23"/>
      <c r="E26" s="23"/>
      <c r="F26" s="23"/>
      <c r="G26" s="71"/>
      <c r="H26" s="205">
        <f>G28+G29+G30+G31+G32</f>
        <v>100250</v>
      </c>
      <c r="I26" s="24" t="s">
        <v>39</v>
      </c>
      <c r="J26" s="24"/>
      <c r="K26" s="24"/>
      <c r="L26" s="24"/>
      <c r="M26" s="24"/>
      <c r="N26" s="17"/>
    </row>
    <row r="27" spans="2:14" ht="12">
      <c r="B27" s="14"/>
      <c r="C27" s="63" t="s">
        <v>144</v>
      </c>
      <c r="D27" s="1"/>
      <c r="E27" s="63" t="s">
        <v>134</v>
      </c>
      <c r="F27" s="63" t="s">
        <v>145</v>
      </c>
      <c r="G27" s="63" t="s">
        <v>137</v>
      </c>
      <c r="H27" s="98"/>
      <c r="I27" s="16"/>
      <c r="J27" s="68" t="s">
        <v>144</v>
      </c>
      <c r="K27" s="68" t="s">
        <v>40</v>
      </c>
      <c r="L27" s="68" t="s">
        <v>42</v>
      </c>
      <c r="M27" s="80" t="s">
        <v>41</v>
      </c>
      <c r="N27" s="17"/>
    </row>
    <row r="28" spans="2:14" ht="12">
      <c r="B28" s="14"/>
      <c r="C28" s="319" t="s">
        <v>212</v>
      </c>
      <c r="D28" s="320"/>
      <c r="E28" s="64">
        <v>85</v>
      </c>
      <c r="F28" s="65">
        <v>850</v>
      </c>
      <c r="G28" s="67">
        <f>E28*F28</f>
        <v>72250</v>
      </c>
      <c r="H28" s="98"/>
      <c r="J28" s="69" t="s">
        <v>48</v>
      </c>
      <c r="K28" s="76">
        <v>10000</v>
      </c>
      <c r="L28" s="76">
        <v>5000</v>
      </c>
      <c r="M28" s="81">
        <v>600</v>
      </c>
      <c r="N28" s="114"/>
    </row>
    <row r="29" spans="2:14" ht="12">
      <c r="B29" s="14"/>
      <c r="C29" s="319" t="s">
        <v>213</v>
      </c>
      <c r="D29" s="320"/>
      <c r="E29" s="64">
        <v>4</v>
      </c>
      <c r="F29" s="65">
        <v>1250</v>
      </c>
      <c r="G29" s="67">
        <f>E29*F29</f>
        <v>5000</v>
      </c>
      <c r="H29" s="98"/>
      <c r="J29" s="69"/>
      <c r="K29" s="76"/>
      <c r="L29" s="76"/>
      <c r="M29" s="81"/>
      <c r="N29" s="114"/>
    </row>
    <row r="30" spans="2:14" ht="12">
      <c r="B30" s="14"/>
      <c r="C30" s="319" t="s">
        <v>26</v>
      </c>
      <c r="D30" s="320"/>
      <c r="E30" s="64">
        <v>10</v>
      </c>
      <c r="F30" s="65">
        <v>800</v>
      </c>
      <c r="G30" s="67">
        <f>E30*F30</f>
        <v>8000</v>
      </c>
      <c r="H30" s="98"/>
      <c r="J30" s="69"/>
      <c r="K30" s="76"/>
      <c r="L30" s="76"/>
      <c r="M30" s="81"/>
      <c r="N30" s="114"/>
    </row>
    <row r="31" spans="2:14" ht="12">
      <c r="B31" s="14"/>
      <c r="C31" s="319" t="s">
        <v>27</v>
      </c>
      <c r="D31" s="320"/>
      <c r="E31" s="64">
        <v>25</v>
      </c>
      <c r="F31" s="65">
        <v>600</v>
      </c>
      <c r="G31" s="67">
        <f>E31*F31</f>
        <v>15000</v>
      </c>
      <c r="H31" s="98"/>
      <c r="J31" s="69"/>
      <c r="K31" s="76"/>
      <c r="L31" s="76"/>
      <c r="M31" s="81"/>
      <c r="N31" s="114"/>
    </row>
    <row r="32" spans="2:14" ht="12">
      <c r="B32" s="120"/>
      <c r="C32" s="319"/>
      <c r="D32" s="320"/>
      <c r="E32" s="64"/>
      <c r="F32" s="65"/>
      <c r="G32" s="67">
        <f>E32*F32</f>
        <v>0</v>
      </c>
      <c r="H32" s="98"/>
      <c r="I32" s="16"/>
      <c r="J32" s="77" t="s">
        <v>43</v>
      </c>
      <c r="K32" s="37">
        <v>18000</v>
      </c>
      <c r="L32" s="37">
        <v>9000</v>
      </c>
      <c r="M32" s="82">
        <v>1200</v>
      </c>
      <c r="N32" s="17"/>
    </row>
    <row r="33" spans="2:14" ht="12">
      <c r="B33" s="34" t="s">
        <v>151</v>
      </c>
      <c r="C33" s="23"/>
      <c r="D33" s="36"/>
      <c r="E33" s="23"/>
      <c r="F33" s="23"/>
      <c r="G33" s="71"/>
      <c r="H33" s="100">
        <f>G35+G36+G37+G38+G39+G40+G42+G43+G44+G45+G41</f>
        <v>324250</v>
      </c>
      <c r="I33" s="16"/>
      <c r="J33" s="77" t="s">
        <v>214</v>
      </c>
      <c r="K33" s="37">
        <v>57300</v>
      </c>
      <c r="L33" s="37">
        <v>11500</v>
      </c>
      <c r="M33" s="82">
        <v>4350</v>
      </c>
      <c r="N33" s="17"/>
    </row>
    <row r="34" spans="2:14" ht="12">
      <c r="B34" s="14"/>
      <c r="C34" s="63" t="s">
        <v>144</v>
      </c>
      <c r="D34" s="1"/>
      <c r="E34" s="63" t="s">
        <v>137</v>
      </c>
      <c r="F34" s="63" t="s">
        <v>146</v>
      </c>
      <c r="G34" s="63" t="s">
        <v>147</v>
      </c>
      <c r="H34" s="98"/>
      <c r="I34" s="16"/>
      <c r="J34" s="77" t="s">
        <v>44</v>
      </c>
      <c r="K34" s="37">
        <v>7200</v>
      </c>
      <c r="L34" s="37">
        <v>7200</v>
      </c>
      <c r="M34" s="82">
        <v>500</v>
      </c>
      <c r="N34" s="17"/>
    </row>
    <row r="35" spans="2:14" ht="12">
      <c r="B35" s="14"/>
      <c r="C35" s="317" t="s">
        <v>19</v>
      </c>
      <c r="D35" s="318"/>
      <c r="E35" s="65">
        <v>81000</v>
      </c>
      <c r="F35" s="65">
        <v>20250</v>
      </c>
      <c r="G35" s="67">
        <f>E35-F35</f>
        <v>60750</v>
      </c>
      <c r="H35" s="98"/>
      <c r="J35" s="77" t="s">
        <v>216</v>
      </c>
      <c r="K35" s="37">
        <v>4000</v>
      </c>
      <c r="L35" s="37">
        <v>2000</v>
      </c>
      <c r="M35" s="82">
        <v>300</v>
      </c>
      <c r="N35" s="17"/>
    </row>
    <row r="36" spans="2:14" ht="12">
      <c r="B36" s="14"/>
      <c r="C36" s="317" t="s">
        <v>21</v>
      </c>
      <c r="D36" s="318"/>
      <c r="E36" s="65">
        <v>28000</v>
      </c>
      <c r="F36" s="65"/>
      <c r="G36" s="67">
        <f aca="true" t="shared" si="0" ref="G36:G45">E36-F36</f>
        <v>28000</v>
      </c>
      <c r="H36" s="98"/>
      <c r="J36" s="77" t="s">
        <v>45</v>
      </c>
      <c r="K36" s="37">
        <v>50000</v>
      </c>
      <c r="L36" s="37">
        <v>7150</v>
      </c>
      <c r="M36" s="82">
        <v>3575</v>
      </c>
      <c r="N36" s="114"/>
    </row>
    <row r="37" spans="2:14" ht="12">
      <c r="B37" s="14"/>
      <c r="C37" s="317" t="s">
        <v>20</v>
      </c>
      <c r="D37" s="318"/>
      <c r="E37" s="65">
        <v>45000</v>
      </c>
      <c r="F37" s="65">
        <v>22500</v>
      </c>
      <c r="G37" s="67">
        <f t="shared" si="0"/>
        <v>22500</v>
      </c>
      <c r="H37" s="98"/>
      <c r="J37" s="69"/>
      <c r="K37" s="76"/>
      <c r="L37" s="76"/>
      <c r="M37" s="81"/>
      <c r="N37" s="121"/>
    </row>
    <row r="38" spans="2:14" ht="12">
      <c r="B38" s="14"/>
      <c r="C38" s="317" t="s">
        <v>22</v>
      </c>
      <c r="D38" s="318"/>
      <c r="E38" s="65">
        <v>100000</v>
      </c>
      <c r="F38" s="65">
        <v>40000</v>
      </c>
      <c r="G38" s="67">
        <f t="shared" si="0"/>
        <v>60000</v>
      </c>
      <c r="H38" s="98"/>
      <c r="I38" s="16"/>
      <c r="J38" s="77" t="s">
        <v>156</v>
      </c>
      <c r="K38" s="37">
        <v>101500</v>
      </c>
      <c r="L38" s="37">
        <v>5300</v>
      </c>
      <c r="M38" s="82">
        <v>7300</v>
      </c>
      <c r="N38" s="39"/>
    </row>
    <row r="39" spans="2:14" ht="12">
      <c r="B39" s="14"/>
      <c r="C39" s="317" t="s">
        <v>23</v>
      </c>
      <c r="D39" s="318"/>
      <c r="E39" s="65">
        <v>16000</v>
      </c>
      <c r="F39" s="65"/>
      <c r="G39" s="67">
        <f t="shared" si="0"/>
        <v>16000</v>
      </c>
      <c r="H39" s="98"/>
      <c r="J39" s="77" t="s">
        <v>217</v>
      </c>
      <c r="K39" s="37">
        <v>200000</v>
      </c>
      <c r="L39" s="37">
        <v>4100</v>
      </c>
      <c r="M39" s="82">
        <v>14000</v>
      </c>
      <c r="N39" s="122"/>
    </row>
    <row r="40" spans="2:14" ht="12">
      <c r="B40" s="14"/>
      <c r="C40" s="317" t="s">
        <v>25</v>
      </c>
      <c r="D40" s="318"/>
      <c r="E40" s="65">
        <v>60000</v>
      </c>
      <c r="F40" s="65">
        <v>30000</v>
      </c>
      <c r="G40" s="67">
        <f t="shared" si="0"/>
        <v>30000</v>
      </c>
      <c r="H40" s="98"/>
      <c r="J40" s="77" t="s">
        <v>157</v>
      </c>
      <c r="K40" s="37">
        <v>56770</v>
      </c>
      <c r="L40" s="37">
        <v>1825</v>
      </c>
      <c r="M40" s="82">
        <v>3950</v>
      </c>
      <c r="N40" s="39"/>
    </row>
    <row r="41" spans="2:14" ht="12">
      <c r="B41" s="14"/>
      <c r="C41" s="317" t="s">
        <v>34</v>
      </c>
      <c r="D41" s="318"/>
      <c r="E41" s="65">
        <v>45000</v>
      </c>
      <c r="F41" s="65"/>
      <c r="G41" s="67">
        <f t="shared" si="0"/>
        <v>45000</v>
      </c>
      <c r="H41" s="98"/>
      <c r="I41" s="16"/>
      <c r="J41" s="77"/>
      <c r="K41" s="37"/>
      <c r="L41" s="37"/>
      <c r="M41" s="82"/>
      <c r="N41" s="39"/>
    </row>
    <row r="42" spans="2:14" ht="12">
      <c r="B42" s="14"/>
      <c r="C42" s="317" t="s">
        <v>215</v>
      </c>
      <c r="D42" s="318"/>
      <c r="E42" s="65">
        <v>12000</v>
      </c>
      <c r="F42" s="65"/>
      <c r="G42" s="67">
        <f t="shared" si="0"/>
        <v>12000</v>
      </c>
      <c r="H42" s="98"/>
      <c r="J42" s="69"/>
      <c r="K42" s="37"/>
      <c r="L42" s="37"/>
      <c r="M42" s="82"/>
      <c r="N42" s="17"/>
    </row>
    <row r="43" spans="2:14" ht="12">
      <c r="B43" s="14"/>
      <c r="C43" s="317" t="s">
        <v>216</v>
      </c>
      <c r="D43" s="318"/>
      <c r="E43" s="65">
        <v>20000</v>
      </c>
      <c r="F43" s="65"/>
      <c r="G43" s="67">
        <f t="shared" si="0"/>
        <v>20000</v>
      </c>
      <c r="H43" s="98"/>
      <c r="J43" s="78" t="s">
        <v>46</v>
      </c>
      <c r="K43" s="79">
        <f>K32+K33+K34+K36+K37+K38+K39+K40+K41+K42+K28</f>
        <v>500770</v>
      </c>
      <c r="L43" s="79">
        <f>SUM(L28:L42)</f>
        <v>53075</v>
      </c>
      <c r="M43" s="83">
        <f>SUM(M28:M42)</f>
        <v>35775</v>
      </c>
      <c r="N43" s="206">
        <f>K43-L43</f>
        <v>447695</v>
      </c>
    </row>
    <row r="44" spans="2:14" ht="12">
      <c r="B44" s="14"/>
      <c r="C44" s="319" t="s">
        <v>24</v>
      </c>
      <c r="D44" s="320"/>
      <c r="E44" s="65">
        <v>10000</v>
      </c>
      <c r="F44" s="65"/>
      <c r="G44" s="67">
        <f t="shared" si="0"/>
        <v>10000</v>
      </c>
      <c r="H44" s="98"/>
      <c r="I44" s="16"/>
      <c r="J44" s="16"/>
      <c r="K44" s="16"/>
      <c r="L44" s="16"/>
      <c r="M44" s="16"/>
      <c r="N44" s="207"/>
    </row>
    <row r="45" spans="2:14" ht="12">
      <c r="B45" s="14"/>
      <c r="C45" s="319" t="s">
        <v>155</v>
      </c>
      <c r="D45" s="320"/>
      <c r="E45" s="65">
        <v>20000</v>
      </c>
      <c r="F45" s="65"/>
      <c r="G45" s="67">
        <f t="shared" si="0"/>
        <v>20000</v>
      </c>
      <c r="H45" s="98"/>
      <c r="I45" s="53" t="s">
        <v>94</v>
      </c>
      <c r="J45" s="53"/>
      <c r="K45" s="24"/>
      <c r="L45" s="24"/>
      <c r="M45" s="24"/>
      <c r="N45" s="208"/>
    </row>
    <row r="46" spans="2:14" ht="12">
      <c r="B46" s="34" t="s">
        <v>152</v>
      </c>
      <c r="C46" s="23"/>
      <c r="D46" s="36"/>
      <c r="E46" s="23"/>
      <c r="F46" s="23"/>
      <c r="G46" s="71"/>
      <c r="H46" s="205">
        <f>G50+G49+G48</f>
        <v>0</v>
      </c>
      <c r="I46" s="24" t="s">
        <v>95</v>
      </c>
      <c r="J46" s="24"/>
      <c r="K46" s="24"/>
      <c r="L46" s="24"/>
      <c r="M46" s="24"/>
      <c r="N46" s="206">
        <f>N43+N45</f>
        <v>447695</v>
      </c>
    </row>
    <row r="47" spans="2:14" ht="12">
      <c r="B47" s="14"/>
      <c r="C47" s="63" t="s">
        <v>144</v>
      </c>
      <c r="D47" s="1"/>
      <c r="E47" s="63" t="s">
        <v>137</v>
      </c>
      <c r="F47" s="63" t="s">
        <v>146</v>
      </c>
      <c r="G47" s="63" t="s">
        <v>147</v>
      </c>
      <c r="H47" s="98"/>
      <c r="I47" s="16"/>
      <c r="J47" s="16"/>
      <c r="K47" s="16"/>
      <c r="L47" s="16"/>
      <c r="M47" s="16"/>
      <c r="N47" s="123"/>
    </row>
    <row r="48" spans="2:14" ht="12">
      <c r="B48" s="14"/>
      <c r="C48" s="323"/>
      <c r="D48" s="323"/>
      <c r="E48" s="65"/>
      <c r="F48" s="65"/>
      <c r="G48" s="67">
        <f>E48-F48</f>
        <v>0</v>
      </c>
      <c r="H48" s="98"/>
      <c r="I48" s="16"/>
      <c r="J48" s="16"/>
      <c r="K48" s="16"/>
      <c r="L48" s="16"/>
      <c r="M48" s="16"/>
      <c r="N48" s="123"/>
    </row>
    <row r="49" spans="2:14" ht="12">
      <c r="B49" s="14"/>
      <c r="C49" s="324"/>
      <c r="D49" s="325"/>
      <c r="E49" s="65"/>
      <c r="F49" s="65"/>
      <c r="G49" s="67">
        <f>E49-F49</f>
        <v>0</v>
      </c>
      <c r="H49" s="98"/>
      <c r="I49" s="16"/>
      <c r="J49" s="16"/>
      <c r="K49" s="16"/>
      <c r="L49" s="16"/>
      <c r="M49" s="16"/>
      <c r="N49" s="123"/>
    </row>
    <row r="50" spans="2:14" ht="12">
      <c r="B50" s="14"/>
      <c r="C50" s="324"/>
      <c r="D50" s="325"/>
      <c r="E50" s="65"/>
      <c r="F50" s="65"/>
      <c r="G50" s="67">
        <f>E50-F50</f>
        <v>0</v>
      </c>
      <c r="H50" s="98"/>
      <c r="I50" s="16"/>
      <c r="J50" s="16"/>
      <c r="K50" s="16"/>
      <c r="L50" s="16"/>
      <c r="M50" s="16"/>
      <c r="N50" s="123"/>
    </row>
    <row r="51" spans="2:14" ht="12">
      <c r="B51" s="34" t="s">
        <v>153</v>
      </c>
      <c r="C51" s="23"/>
      <c r="D51" s="23"/>
      <c r="E51" s="23"/>
      <c r="F51" s="23"/>
      <c r="G51" s="71"/>
      <c r="H51" s="100">
        <f>G53+G54+G55+G56+G57</f>
        <v>1074000</v>
      </c>
      <c r="I51" s="16"/>
      <c r="J51" s="16"/>
      <c r="K51" s="16"/>
      <c r="L51" s="16"/>
      <c r="M51" s="16"/>
      <c r="N51" s="123"/>
    </row>
    <row r="52" spans="2:14" ht="12">
      <c r="B52" s="14"/>
      <c r="C52" s="63" t="s">
        <v>144</v>
      </c>
      <c r="D52" s="63" t="s">
        <v>173</v>
      </c>
      <c r="E52" s="63" t="s">
        <v>148</v>
      </c>
      <c r="F52" s="1"/>
      <c r="G52" s="63" t="s">
        <v>149</v>
      </c>
      <c r="H52" s="98"/>
      <c r="I52" s="16"/>
      <c r="J52" s="16"/>
      <c r="K52" s="16"/>
      <c r="L52" s="16"/>
      <c r="M52" s="16"/>
      <c r="N52" s="123"/>
    </row>
    <row r="53" spans="2:14" ht="12">
      <c r="B53" s="14"/>
      <c r="C53" s="64" t="s">
        <v>217</v>
      </c>
      <c r="D53" s="64">
        <v>80</v>
      </c>
      <c r="E53" s="322">
        <v>5575</v>
      </c>
      <c r="F53" s="322"/>
      <c r="G53" s="67">
        <f>D53*E53</f>
        <v>446000</v>
      </c>
      <c r="H53" s="98"/>
      <c r="I53" s="16"/>
      <c r="J53" s="16"/>
      <c r="K53" s="16"/>
      <c r="L53" s="16"/>
      <c r="M53" s="16"/>
      <c r="N53" s="123"/>
    </row>
    <row r="54" spans="2:14" ht="12">
      <c r="B54" s="14"/>
      <c r="C54" s="64" t="s">
        <v>157</v>
      </c>
      <c r="D54" s="64">
        <v>80</v>
      </c>
      <c r="E54" s="322">
        <v>3750</v>
      </c>
      <c r="F54" s="322"/>
      <c r="G54" s="67">
        <f>D54*E54</f>
        <v>300000</v>
      </c>
      <c r="H54" s="98"/>
      <c r="I54" s="16"/>
      <c r="J54" s="16"/>
      <c r="K54" s="16"/>
      <c r="L54" s="16"/>
      <c r="M54" s="16"/>
      <c r="N54" s="123"/>
    </row>
    <row r="55" spans="2:14" ht="12">
      <c r="B55" s="14"/>
      <c r="C55" s="64" t="s">
        <v>156</v>
      </c>
      <c r="D55" s="64">
        <v>80</v>
      </c>
      <c r="E55" s="322">
        <v>4100</v>
      </c>
      <c r="F55" s="322"/>
      <c r="G55" s="67">
        <f>D55*E55</f>
        <v>328000</v>
      </c>
      <c r="H55" s="98"/>
      <c r="I55" s="16"/>
      <c r="J55" s="16"/>
      <c r="K55" s="16"/>
      <c r="L55" s="16"/>
      <c r="M55" s="16"/>
      <c r="N55" s="123"/>
    </row>
    <row r="56" spans="2:14" ht="12">
      <c r="B56" s="14"/>
      <c r="C56" s="64"/>
      <c r="D56" s="64"/>
      <c r="E56" s="322"/>
      <c r="F56" s="322"/>
      <c r="G56" s="67">
        <f>D56*E56</f>
        <v>0</v>
      </c>
      <c r="H56" s="98"/>
      <c r="I56" s="16"/>
      <c r="J56" s="16"/>
      <c r="K56" s="16"/>
      <c r="L56" s="16"/>
      <c r="M56" s="16"/>
      <c r="N56" s="123"/>
    </row>
    <row r="57" spans="2:14" ht="12">
      <c r="B57" s="14"/>
      <c r="C57" s="64"/>
      <c r="D57" s="64"/>
      <c r="E57" s="322"/>
      <c r="F57" s="322"/>
      <c r="G57" s="67">
        <f>D57*E57</f>
        <v>0</v>
      </c>
      <c r="H57" s="98"/>
      <c r="I57" s="16"/>
      <c r="J57" s="16"/>
      <c r="K57" s="16"/>
      <c r="L57" s="16"/>
      <c r="M57" s="16"/>
      <c r="N57" s="123"/>
    </row>
    <row r="58" spans="2:14" ht="12">
      <c r="B58" s="34" t="s">
        <v>154</v>
      </c>
      <c r="C58" s="23"/>
      <c r="D58" s="23"/>
      <c r="E58" s="23"/>
      <c r="F58" s="23"/>
      <c r="G58" s="71"/>
      <c r="H58" s="101"/>
      <c r="I58" s="16"/>
      <c r="J58" s="16"/>
      <c r="K58" s="16"/>
      <c r="L58" s="16"/>
      <c r="M58" s="16"/>
      <c r="N58" s="123"/>
    </row>
    <row r="59" spans="2:14" ht="12">
      <c r="B59" s="124" t="s">
        <v>96</v>
      </c>
      <c r="C59" s="54"/>
      <c r="D59" s="54"/>
      <c r="E59" s="54"/>
      <c r="F59" s="54"/>
      <c r="G59" s="35"/>
      <c r="H59" s="101"/>
      <c r="I59" s="45"/>
      <c r="J59" s="45"/>
      <c r="K59" s="45"/>
      <c r="L59" s="45"/>
      <c r="M59" s="45"/>
      <c r="N59" s="114"/>
    </row>
    <row r="60" spans="2:14" ht="12.75" thickBot="1">
      <c r="B60" s="125" t="s">
        <v>97</v>
      </c>
      <c r="C60" s="19"/>
      <c r="D60" s="19"/>
      <c r="E60" s="19"/>
      <c r="F60" s="19"/>
      <c r="G60" s="72"/>
      <c r="H60" s="199">
        <f>H26+H33+H46+H51+H58+H59</f>
        <v>1498500</v>
      </c>
      <c r="I60" s="45"/>
      <c r="J60" s="45"/>
      <c r="K60" s="45"/>
      <c r="L60" s="45"/>
      <c r="M60" s="45"/>
      <c r="N60" s="114"/>
    </row>
    <row r="61" spans="2:14" ht="13.5" thickBot="1">
      <c r="B61" s="57" t="s">
        <v>98</v>
      </c>
      <c r="C61" s="58"/>
      <c r="D61" s="58"/>
      <c r="E61" s="84"/>
      <c r="F61" s="84"/>
      <c r="G61" s="85"/>
      <c r="H61" s="200">
        <f>(H24+H60)</f>
        <v>1806557.5</v>
      </c>
      <c r="I61" s="58" t="s">
        <v>99</v>
      </c>
      <c r="J61" s="58"/>
      <c r="K61" s="86"/>
      <c r="L61" s="86"/>
      <c r="M61" s="86"/>
      <c r="N61" s="202">
        <f>N24+N46</f>
        <v>710578</v>
      </c>
    </row>
    <row r="62" spans="2:14" ht="13.5" thickBot="1">
      <c r="B62" s="141" t="s">
        <v>100</v>
      </c>
      <c r="C62" s="142"/>
      <c r="D62" s="142"/>
      <c r="E62" s="51"/>
      <c r="F62" s="51"/>
      <c r="G62" s="143"/>
      <c r="H62" s="201">
        <f>(H61-N61)</f>
        <v>1095979.5</v>
      </c>
      <c r="I62" s="144"/>
      <c r="J62" s="144"/>
      <c r="K62" s="144"/>
      <c r="L62" s="144"/>
      <c r="M62" s="144"/>
      <c r="N62" s="203"/>
    </row>
    <row r="63" spans="2:14" ht="12.75">
      <c r="B63" s="22" t="s">
        <v>101</v>
      </c>
      <c r="C63" s="31"/>
      <c r="D63" s="31"/>
      <c r="E63" s="23"/>
      <c r="F63" s="23"/>
      <c r="G63" s="35"/>
      <c r="H63" s="148"/>
      <c r="I63" s="88" t="s">
        <v>102</v>
      </c>
      <c r="J63" s="88"/>
      <c r="K63" s="23"/>
      <c r="L63" s="23"/>
      <c r="M63" s="23"/>
      <c r="N63" s="204">
        <f>H24-N24</f>
        <v>45174.5</v>
      </c>
    </row>
    <row r="64" spans="2:14" ht="12.75">
      <c r="B64" s="22" t="s">
        <v>103</v>
      </c>
      <c r="C64" s="31"/>
      <c r="D64" s="31"/>
      <c r="E64" s="23"/>
      <c r="F64" s="23"/>
      <c r="G64" s="87"/>
      <c r="H64" s="103">
        <f>(H62-H63)</f>
        <v>1095979.5</v>
      </c>
      <c r="I64" s="31" t="s">
        <v>104</v>
      </c>
      <c r="J64" s="31"/>
      <c r="K64" s="23"/>
      <c r="L64" s="23"/>
      <c r="M64" s="89"/>
      <c r="N64" s="127">
        <f>(IF(N24,H24/N24,0))</f>
        <v>1.1718426067870498</v>
      </c>
    </row>
    <row r="65" spans="2:14" ht="15.75">
      <c r="B65" s="128" t="s">
        <v>105</v>
      </c>
      <c r="C65" s="90"/>
      <c r="D65" s="90"/>
      <c r="E65" s="91"/>
      <c r="F65" s="91"/>
      <c r="G65" s="92"/>
      <c r="H65" s="104" t="str">
        <f>IF(H63&gt;0,H64/H63," ")</f>
        <v> </v>
      </c>
      <c r="I65" s="31" t="s">
        <v>106</v>
      </c>
      <c r="J65" s="31"/>
      <c r="K65" s="23"/>
      <c r="L65" s="23"/>
      <c r="M65" s="23"/>
      <c r="N65" s="129">
        <f>IF(H61,N61/H61,0)</f>
        <v>0.39333262295830607</v>
      </c>
    </row>
    <row r="66" spans="2:14" ht="12">
      <c r="B66" s="130"/>
      <c r="C66" s="48"/>
      <c r="D66" s="48"/>
      <c r="E66" s="15"/>
      <c r="F66" s="15"/>
      <c r="G66" s="15"/>
      <c r="H66" s="21"/>
      <c r="I66" s="48"/>
      <c r="J66" s="48"/>
      <c r="K66" s="15"/>
      <c r="L66" s="15"/>
      <c r="M66" s="15"/>
      <c r="N66" s="21"/>
    </row>
    <row r="67" spans="2:14" ht="12.75">
      <c r="B67" s="131" t="s">
        <v>107</v>
      </c>
      <c r="C67" s="46"/>
      <c r="D67" s="46"/>
      <c r="E67" s="49"/>
      <c r="F67" s="49"/>
      <c r="G67" s="47"/>
      <c r="H67" s="105"/>
      <c r="I67" s="30" t="s">
        <v>108</v>
      </c>
      <c r="J67" s="30"/>
      <c r="K67" s="30"/>
      <c r="L67" s="30"/>
      <c r="M67" s="30"/>
      <c r="N67" s="132"/>
    </row>
    <row r="68" spans="2:14" ht="12.75">
      <c r="B68" s="133" t="s">
        <v>109</v>
      </c>
      <c r="C68" s="93"/>
      <c r="D68" s="93"/>
      <c r="E68" s="93"/>
      <c r="F68" s="93"/>
      <c r="G68" s="93"/>
      <c r="H68" s="106"/>
      <c r="I68" s="93" t="s">
        <v>110</v>
      </c>
      <c r="J68" s="93"/>
      <c r="K68" s="93"/>
      <c r="L68" s="93"/>
      <c r="M68" s="93"/>
      <c r="N68" s="106"/>
    </row>
    <row r="69" spans="2:14" ht="12.75">
      <c r="B69" s="133" t="s">
        <v>111</v>
      </c>
      <c r="C69" s="93"/>
      <c r="D69" s="93"/>
      <c r="E69" s="93"/>
      <c r="F69" s="93"/>
      <c r="G69" s="93"/>
      <c r="H69" s="106"/>
      <c r="I69" s="93" t="s">
        <v>112</v>
      </c>
      <c r="J69" s="93"/>
      <c r="K69" s="93"/>
      <c r="L69" s="93"/>
      <c r="M69" s="93"/>
      <c r="N69" s="106"/>
    </row>
    <row r="70" spans="2:14" ht="12.75">
      <c r="B70" s="133" t="s">
        <v>113</v>
      </c>
      <c r="C70" s="93"/>
      <c r="D70" s="93"/>
      <c r="E70" s="93"/>
      <c r="F70" s="93"/>
      <c r="G70" s="93"/>
      <c r="H70" s="106"/>
      <c r="I70" s="93" t="s">
        <v>114</v>
      </c>
      <c r="J70" s="93"/>
      <c r="K70" s="93"/>
      <c r="L70" s="93"/>
      <c r="M70" s="93"/>
      <c r="N70" s="106"/>
    </row>
    <row r="71" spans="2:14" ht="12.75">
      <c r="B71" s="133" t="s">
        <v>115</v>
      </c>
      <c r="C71" s="93"/>
      <c r="D71" s="93"/>
      <c r="E71" s="93"/>
      <c r="F71" s="93"/>
      <c r="G71" s="93"/>
      <c r="H71" s="106"/>
      <c r="I71" s="93" t="s">
        <v>116</v>
      </c>
      <c r="J71" s="93"/>
      <c r="K71" s="93"/>
      <c r="L71" s="93"/>
      <c r="M71" s="93"/>
      <c r="N71" s="106"/>
    </row>
    <row r="72" spans="2:14" ht="12.75">
      <c r="B72" s="133" t="s">
        <v>117</v>
      </c>
      <c r="C72" s="93"/>
      <c r="D72" s="93"/>
      <c r="E72" s="93"/>
      <c r="F72" s="93"/>
      <c r="G72" s="93"/>
      <c r="H72" s="106"/>
      <c r="I72" s="93" t="s">
        <v>118</v>
      </c>
      <c r="J72" s="93"/>
      <c r="K72" s="93"/>
      <c r="L72" s="93"/>
      <c r="M72" s="93"/>
      <c r="N72" s="106"/>
    </row>
    <row r="73" spans="2:14" ht="12.75">
      <c r="B73" s="134" t="s">
        <v>119</v>
      </c>
      <c r="C73" s="94"/>
      <c r="D73" s="94"/>
      <c r="E73" s="94"/>
      <c r="F73" s="94"/>
      <c r="G73" s="94"/>
      <c r="H73" s="106"/>
      <c r="I73" s="94" t="s">
        <v>120</v>
      </c>
      <c r="J73" s="94"/>
      <c r="K73" s="94"/>
      <c r="L73" s="94"/>
      <c r="M73" s="94"/>
      <c r="N73" s="106"/>
    </row>
    <row r="74" spans="2:14" ht="12.75">
      <c r="B74" s="133" t="s">
        <v>121</v>
      </c>
      <c r="C74" s="93"/>
      <c r="D74" s="93"/>
      <c r="E74" s="93"/>
      <c r="F74" s="93"/>
      <c r="G74" s="93"/>
      <c r="H74" s="107">
        <f>SUM(H68:H73)</f>
        <v>0</v>
      </c>
      <c r="I74" s="93" t="s">
        <v>122</v>
      </c>
      <c r="J74" s="93"/>
      <c r="K74" s="93"/>
      <c r="L74" s="93"/>
      <c r="M74" s="93"/>
      <c r="N74" s="107">
        <f>SUM(N68:N73)</f>
        <v>0</v>
      </c>
    </row>
    <row r="75" spans="2:14" ht="13.5" thickBot="1">
      <c r="B75" s="135" t="s">
        <v>123</v>
      </c>
      <c r="C75" s="95"/>
      <c r="D75" s="95"/>
      <c r="E75" s="95"/>
      <c r="F75" s="95"/>
      <c r="G75" s="95"/>
      <c r="H75" s="150">
        <f>(H74-N74)</f>
        <v>0</v>
      </c>
      <c r="I75" s="95" t="s">
        <v>124</v>
      </c>
      <c r="J75" s="95"/>
      <c r="K75" s="95"/>
      <c r="L75" s="95"/>
      <c r="M75" s="95"/>
      <c r="N75" s="136">
        <f>IF(H74,N74/H74,0)</f>
        <v>0</v>
      </c>
    </row>
    <row r="76" spans="2:14" ht="15.75" thickBot="1">
      <c r="B76" s="25" t="s">
        <v>125</v>
      </c>
      <c r="C76" s="26"/>
      <c r="D76" s="26"/>
      <c r="E76" s="26"/>
      <c r="F76" s="26"/>
      <c r="G76" s="27"/>
      <c r="H76" s="151">
        <f>(H62+H75)</f>
        <v>1095979.5</v>
      </c>
      <c r="I76" s="137" t="s">
        <v>126</v>
      </c>
      <c r="J76" s="28"/>
      <c r="K76" s="28"/>
      <c r="L76" s="28"/>
      <c r="M76" s="28"/>
      <c r="N76" s="138">
        <f>IF(H61+H74,(N61+N74)/(H61+H74),0)</f>
        <v>0.39333262295830607</v>
      </c>
    </row>
  </sheetData>
  <sheetProtection/>
  <mergeCells count="25">
    <mergeCell ref="E57:F57"/>
    <mergeCell ref="E54:F54"/>
    <mergeCell ref="C48:D48"/>
    <mergeCell ref="E53:F53"/>
    <mergeCell ref="E55:F55"/>
    <mergeCell ref="E56:F56"/>
    <mergeCell ref="C49:D49"/>
    <mergeCell ref="C50:D50"/>
    <mergeCell ref="B1:H1"/>
    <mergeCell ref="C42:D42"/>
    <mergeCell ref="C43:D43"/>
    <mergeCell ref="C44:D44"/>
    <mergeCell ref="C32:D32"/>
    <mergeCell ref="C30:D30"/>
    <mergeCell ref="C31:D31"/>
    <mergeCell ref="C35:D35"/>
    <mergeCell ref="C36:D36"/>
    <mergeCell ref="C37:D37"/>
    <mergeCell ref="C28:D28"/>
    <mergeCell ref="C29:D29"/>
    <mergeCell ref="C45:D45"/>
    <mergeCell ref="C38:D38"/>
    <mergeCell ref="C39:D39"/>
    <mergeCell ref="C40:D40"/>
    <mergeCell ref="C41:D41"/>
  </mergeCells>
  <printOptions horizontalCentered="1"/>
  <pageMargins left="0.25" right="0.25" top="0.5" bottom="0.5" header="0.25" footer="0"/>
  <pageSetup fitToHeight="2" fitToWidth="1" orientation="portrait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6"/>
  <sheetViews>
    <sheetView zoomScale="75" zoomScaleNormal="75" zoomScalePageLayoutView="0" workbookViewId="0" topLeftCell="B7">
      <selection activeCell="M43" sqref="M43"/>
    </sheetView>
  </sheetViews>
  <sheetFormatPr defaultColWidth="9.140625" defaultRowHeight="12.75"/>
  <cols>
    <col min="1" max="1" width="2.421875" style="9" customWidth="1"/>
    <col min="2" max="2" width="12.421875" style="9" customWidth="1"/>
    <col min="3" max="3" width="12.00390625" style="9" customWidth="1"/>
    <col min="4" max="4" width="10.140625" style="9" customWidth="1"/>
    <col min="5" max="5" width="13.28125" style="9" customWidth="1"/>
    <col min="6" max="6" width="12.28125" style="9" bestFit="1" customWidth="1"/>
    <col min="7" max="7" width="12.8515625" style="9" bestFit="1" customWidth="1"/>
    <col min="8" max="8" width="15.7109375" style="9" bestFit="1" customWidth="1"/>
    <col min="9" max="9" width="10.28125" style="9" customWidth="1"/>
    <col min="10" max="10" width="21.421875" style="9" customWidth="1"/>
    <col min="11" max="11" width="17.28125" style="9" bestFit="1" customWidth="1"/>
    <col min="12" max="12" width="16.7109375" style="9" bestFit="1" customWidth="1"/>
    <col min="13" max="13" width="15.00390625" style="9" bestFit="1" customWidth="1"/>
    <col min="14" max="14" width="15.7109375" style="9" bestFit="1" customWidth="1"/>
    <col min="15" max="16384" width="9.140625" style="9" customWidth="1"/>
  </cols>
  <sheetData>
    <row r="1" spans="2:8" ht="12">
      <c r="B1" s="328" t="s">
        <v>59</v>
      </c>
      <c r="C1" s="328"/>
      <c r="D1" s="328"/>
      <c r="E1" s="328"/>
      <c r="F1" s="328"/>
      <c r="G1" s="328"/>
      <c r="H1" s="328"/>
    </row>
    <row r="2" spans="9:10" ht="12">
      <c r="I2" s="9" t="s">
        <v>32</v>
      </c>
      <c r="J2" s="41">
        <v>39448</v>
      </c>
    </row>
    <row r="3" ht="12.75" thickBot="1"/>
    <row r="4" spans="2:14" ht="15">
      <c r="B4" s="108" t="s">
        <v>218</v>
      </c>
      <c r="C4" s="109"/>
      <c r="D4" s="109"/>
      <c r="E4" s="110" t="s">
        <v>219</v>
      </c>
      <c r="F4" s="110"/>
      <c r="G4" s="111"/>
      <c r="H4" s="112" t="s">
        <v>220</v>
      </c>
      <c r="I4" s="109" t="s">
        <v>49</v>
      </c>
      <c r="J4" s="113"/>
      <c r="K4" s="110"/>
      <c r="L4" s="110"/>
      <c r="M4" s="110"/>
      <c r="N4" s="112" t="s">
        <v>220</v>
      </c>
    </row>
    <row r="5" spans="2:14" ht="12">
      <c r="B5" s="11" t="s">
        <v>85</v>
      </c>
      <c r="C5" s="29"/>
      <c r="D5" s="29"/>
      <c r="E5" s="12"/>
      <c r="F5" s="12"/>
      <c r="G5" s="32"/>
      <c r="H5" s="13"/>
      <c r="I5" s="29" t="s">
        <v>86</v>
      </c>
      <c r="J5" s="29"/>
      <c r="K5" s="12"/>
      <c r="L5" s="12"/>
      <c r="M5" s="12"/>
      <c r="N5" s="13"/>
    </row>
    <row r="6" spans="2:14" ht="12">
      <c r="B6" s="34" t="s">
        <v>87</v>
      </c>
      <c r="C6" s="23"/>
      <c r="D6" s="23"/>
      <c r="E6" s="23"/>
      <c r="F6" s="23"/>
      <c r="G6" s="35"/>
      <c r="H6" s="96">
        <v>15483</v>
      </c>
      <c r="I6" s="24" t="s">
        <v>28</v>
      </c>
      <c r="J6" s="24"/>
      <c r="K6" s="24"/>
      <c r="L6" s="24"/>
      <c r="M6" s="24"/>
      <c r="N6" s="40">
        <v>7586</v>
      </c>
    </row>
    <row r="7" spans="2:14" ht="12">
      <c r="B7" s="34" t="s">
        <v>130</v>
      </c>
      <c r="C7" s="23"/>
      <c r="D7" s="23"/>
      <c r="E7" s="23"/>
      <c r="F7" s="23"/>
      <c r="G7" s="50"/>
      <c r="H7" s="205">
        <f>F9+F10+F11+F12+F13</f>
        <v>463955.65</v>
      </c>
      <c r="I7" s="24" t="s">
        <v>29</v>
      </c>
      <c r="J7" s="24"/>
      <c r="K7" s="24"/>
      <c r="L7" s="24"/>
      <c r="M7" s="24"/>
      <c r="N7" s="40">
        <v>6560</v>
      </c>
    </row>
    <row r="8" spans="2:14" ht="12">
      <c r="B8" s="14"/>
      <c r="C8" s="1" t="s">
        <v>128</v>
      </c>
      <c r="D8" s="63" t="s">
        <v>127</v>
      </c>
      <c r="E8" s="63" t="s">
        <v>129</v>
      </c>
      <c r="F8" s="63" t="s">
        <v>137</v>
      </c>
      <c r="G8" s="33"/>
      <c r="H8" s="98"/>
      <c r="I8" s="24" t="s">
        <v>36</v>
      </c>
      <c r="J8" s="24"/>
      <c r="K8" s="24"/>
      <c r="L8" s="24"/>
      <c r="M8" s="24"/>
      <c r="N8" s="20"/>
    </row>
    <row r="9" spans="2:14" ht="12">
      <c r="B9" s="14"/>
      <c r="C9" s="64" t="s">
        <v>138</v>
      </c>
      <c r="D9" s="64">
        <v>40000</v>
      </c>
      <c r="E9" s="65">
        <v>4.73</v>
      </c>
      <c r="F9" s="67">
        <f>D9*E9</f>
        <v>189200.00000000003</v>
      </c>
      <c r="G9" s="33"/>
      <c r="H9" s="98"/>
      <c r="I9" s="16"/>
      <c r="J9" s="70" t="s">
        <v>144</v>
      </c>
      <c r="K9" s="70" t="s">
        <v>31</v>
      </c>
      <c r="L9" s="70" t="s">
        <v>35</v>
      </c>
      <c r="N9" s="17"/>
    </row>
    <row r="10" spans="2:14" ht="12">
      <c r="B10" s="14"/>
      <c r="C10" s="64" t="s">
        <v>139</v>
      </c>
      <c r="D10" s="64">
        <v>21879</v>
      </c>
      <c r="E10" s="65">
        <v>12.35</v>
      </c>
      <c r="F10" s="67">
        <f>D10*E10</f>
        <v>270205.64999999997</v>
      </c>
      <c r="G10" s="33"/>
      <c r="H10" s="98"/>
      <c r="I10" s="16"/>
      <c r="J10" s="77" t="s">
        <v>33</v>
      </c>
      <c r="K10" s="37">
        <v>150000</v>
      </c>
      <c r="L10" s="37">
        <v>6000</v>
      </c>
      <c r="N10" s="17"/>
    </row>
    <row r="11" spans="2:14" ht="12">
      <c r="B11" s="14"/>
      <c r="C11" s="64" t="s">
        <v>140</v>
      </c>
      <c r="D11" s="64">
        <v>65</v>
      </c>
      <c r="E11" s="65">
        <v>70</v>
      </c>
      <c r="F11" s="67">
        <f>D11*E11</f>
        <v>4550</v>
      </c>
      <c r="G11" s="33"/>
      <c r="H11" s="98"/>
      <c r="I11" s="16"/>
      <c r="J11" s="77"/>
      <c r="K11" s="37"/>
      <c r="L11" s="37"/>
      <c r="N11" s="17"/>
    </row>
    <row r="12" spans="2:14" ht="12">
      <c r="B12" s="14"/>
      <c r="C12" s="64"/>
      <c r="D12" s="64"/>
      <c r="E12" s="65"/>
      <c r="F12" s="67">
        <f>D12*E12</f>
        <v>0</v>
      </c>
      <c r="G12" s="33"/>
      <c r="H12" s="98"/>
      <c r="I12" s="16"/>
      <c r="J12" s="77"/>
      <c r="K12" s="37"/>
      <c r="L12" s="37"/>
      <c r="N12" s="17"/>
    </row>
    <row r="13" spans="2:14" ht="12">
      <c r="B13" s="14"/>
      <c r="C13" s="64"/>
      <c r="D13" s="64"/>
      <c r="E13" s="65"/>
      <c r="F13" s="67">
        <f>D13*E13</f>
        <v>0</v>
      </c>
      <c r="G13" s="33"/>
      <c r="H13" s="98"/>
      <c r="J13" s="69"/>
      <c r="K13" s="69"/>
      <c r="L13" s="69"/>
      <c r="N13" s="114"/>
    </row>
    <row r="14" spans="2:14" ht="12">
      <c r="B14" s="34" t="s">
        <v>131</v>
      </c>
      <c r="C14" s="23"/>
      <c r="D14" s="23"/>
      <c r="E14" s="23"/>
      <c r="F14" s="23"/>
      <c r="G14" s="50"/>
      <c r="H14" s="96">
        <v>500</v>
      </c>
      <c r="J14" s="73"/>
      <c r="K14" s="73"/>
      <c r="L14" s="73"/>
      <c r="N14" s="114"/>
    </row>
    <row r="15" spans="2:14" ht="12">
      <c r="B15" s="34" t="s">
        <v>132</v>
      </c>
      <c r="C15" s="23"/>
      <c r="D15" s="23"/>
      <c r="E15" s="23"/>
      <c r="F15" s="23"/>
      <c r="G15" s="50"/>
      <c r="H15" s="96">
        <v>72000</v>
      </c>
      <c r="I15" s="24" t="s">
        <v>31</v>
      </c>
      <c r="J15" s="24"/>
      <c r="K15" s="24"/>
      <c r="L15" s="24"/>
      <c r="M15" s="24"/>
      <c r="N15" s="115">
        <f>K10+K11+K12+K13+K14</f>
        <v>150000</v>
      </c>
    </row>
    <row r="16" spans="2:14" ht="12">
      <c r="B16" s="116" t="s">
        <v>141</v>
      </c>
      <c r="C16" s="51"/>
      <c r="D16" s="51"/>
      <c r="E16" s="51"/>
      <c r="F16" s="51"/>
      <c r="G16" s="52"/>
      <c r="H16" s="209">
        <f>G18+G19+G20</f>
        <v>39424.00000000001</v>
      </c>
      <c r="I16" s="24" t="s">
        <v>30</v>
      </c>
      <c r="J16" s="24"/>
      <c r="K16" s="24"/>
      <c r="L16" s="24"/>
      <c r="M16" s="24"/>
      <c r="N16" s="117">
        <f>L10+L11+L12+L13+L14</f>
        <v>6000</v>
      </c>
    </row>
    <row r="17" spans="2:14" ht="12">
      <c r="B17" s="14"/>
      <c r="C17" s="63" t="s">
        <v>133</v>
      </c>
      <c r="D17" s="63" t="s">
        <v>127</v>
      </c>
      <c r="E17" s="63" t="s">
        <v>136</v>
      </c>
      <c r="F17" s="66" t="s">
        <v>135</v>
      </c>
      <c r="G17" s="74" t="s">
        <v>137</v>
      </c>
      <c r="H17" s="98"/>
      <c r="I17" s="24" t="s">
        <v>38</v>
      </c>
      <c r="J17" s="36"/>
      <c r="K17" s="24"/>
      <c r="L17" s="24"/>
      <c r="M17" s="24"/>
      <c r="N17" s="117">
        <f>L43</f>
        <v>95100</v>
      </c>
    </row>
    <row r="18" spans="2:14" ht="12">
      <c r="B18" s="14"/>
      <c r="C18" s="64" t="s">
        <v>211</v>
      </c>
      <c r="D18" s="64">
        <v>64</v>
      </c>
      <c r="E18" s="64">
        <v>550</v>
      </c>
      <c r="F18" s="65">
        <v>1.12</v>
      </c>
      <c r="G18" s="75">
        <f>D18*E18*F18</f>
        <v>39424.00000000001</v>
      </c>
      <c r="H18" s="98"/>
      <c r="I18" s="24" t="s">
        <v>37</v>
      </c>
      <c r="J18" s="24"/>
      <c r="K18" s="24"/>
      <c r="L18" s="24"/>
      <c r="M18" s="24"/>
      <c r="N18" s="117">
        <f>M43</f>
        <v>38920</v>
      </c>
    </row>
    <row r="19" spans="2:14" ht="12">
      <c r="B19" s="14"/>
      <c r="C19" s="64"/>
      <c r="D19" s="64"/>
      <c r="E19" s="64"/>
      <c r="F19" s="65"/>
      <c r="G19" s="75">
        <f>D19*E19*F19</f>
        <v>0</v>
      </c>
      <c r="H19" s="98"/>
      <c r="N19" s="114"/>
    </row>
    <row r="20" spans="2:14" ht="12">
      <c r="B20" s="14"/>
      <c r="C20" s="64"/>
      <c r="D20" s="64"/>
      <c r="E20" s="64"/>
      <c r="F20" s="65"/>
      <c r="G20" s="75">
        <f>D20*E20*F20</f>
        <v>0</v>
      </c>
      <c r="H20" s="98"/>
      <c r="I20" s="53" t="s">
        <v>47</v>
      </c>
      <c r="J20" s="24"/>
      <c r="K20" s="24"/>
      <c r="L20" s="24"/>
      <c r="M20" s="24"/>
      <c r="N20" s="40">
        <v>69533</v>
      </c>
    </row>
    <row r="21" spans="2:14" ht="12">
      <c r="B21" s="34" t="s">
        <v>142</v>
      </c>
      <c r="C21" s="23"/>
      <c r="D21" s="23"/>
      <c r="E21" s="23"/>
      <c r="F21" s="23"/>
      <c r="G21" s="50"/>
      <c r="H21" s="96"/>
      <c r="I21" s="53" t="s">
        <v>89</v>
      </c>
      <c r="J21" s="53"/>
      <c r="K21" s="53"/>
      <c r="L21" s="53"/>
      <c r="M21" s="53"/>
      <c r="N21" s="18"/>
    </row>
    <row r="22" spans="2:14" ht="12">
      <c r="B22" s="34" t="s">
        <v>143</v>
      </c>
      <c r="C22" s="23"/>
      <c r="D22" s="23"/>
      <c r="E22" s="23"/>
      <c r="F22" s="23"/>
      <c r="G22" s="50"/>
      <c r="H22" s="96"/>
      <c r="I22" s="16"/>
      <c r="J22" s="16"/>
      <c r="K22" s="16"/>
      <c r="L22" s="16"/>
      <c r="M22" s="16"/>
      <c r="N22" s="17"/>
    </row>
    <row r="23" spans="2:14" ht="12.75" thickBot="1">
      <c r="B23" s="118" t="s">
        <v>88</v>
      </c>
      <c r="C23" s="55"/>
      <c r="D23" s="55"/>
      <c r="E23" s="55"/>
      <c r="F23" s="55"/>
      <c r="G23" s="56"/>
      <c r="H23" s="99"/>
      <c r="N23" s="114"/>
    </row>
    <row r="24" spans="2:14" ht="13.5" thickBot="1">
      <c r="B24" s="57" t="s">
        <v>90</v>
      </c>
      <c r="C24" s="58"/>
      <c r="D24" s="58"/>
      <c r="E24" s="59"/>
      <c r="F24" s="59"/>
      <c r="G24" s="60"/>
      <c r="H24" s="139">
        <f>SUM(H6:H23)</f>
        <v>591362.65</v>
      </c>
      <c r="I24" s="61" t="s">
        <v>91</v>
      </c>
      <c r="J24" s="61"/>
      <c r="K24" s="62"/>
      <c r="L24" s="62"/>
      <c r="M24" s="62"/>
      <c r="N24" s="140">
        <f>SUM(N6:N22)</f>
        <v>373699</v>
      </c>
    </row>
    <row r="25" spans="2:14" ht="12">
      <c r="B25" s="119" t="s">
        <v>92</v>
      </c>
      <c r="C25" s="43"/>
      <c r="D25" s="43"/>
      <c r="E25" s="15"/>
      <c r="F25" s="15"/>
      <c r="G25" s="42"/>
      <c r="H25" s="98"/>
      <c r="I25" s="44" t="s">
        <v>93</v>
      </c>
      <c r="J25" s="44"/>
      <c r="K25" s="16"/>
      <c r="L25" s="16"/>
      <c r="M25" s="16"/>
      <c r="N25" s="17"/>
    </row>
    <row r="26" spans="2:14" ht="12">
      <c r="B26" s="34" t="s">
        <v>150</v>
      </c>
      <c r="C26" s="23"/>
      <c r="D26" s="23"/>
      <c r="E26" s="23"/>
      <c r="F26" s="23"/>
      <c r="G26" s="71"/>
      <c r="H26" s="97">
        <f>G28+G29+G30+G31+G32</f>
        <v>99600</v>
      </c>
      <c r="I26" s="24" t="s">
        <v>39</v>
      </c>
      <c r="J26" s="24"/>
      <c r="K26" s="24"/>
      <c r="L26" s="24"/>
      <c r="M26" s="24"/>
      <c r="N26" s="17"/>
    </row>
    <row r="27" spans="2:14" ht="12">
      <c r="B27" s="14"/>
      <c r="C27" s="63" t="s">
        <v>144</v>
      </c>
      <c r="D27" s="1"/>
      <c r="E27" s="63" t="s">
        <v>134</v>
      </c>
      <c r="F27" s="63" t="s">
        <v>145</v>
      </c>
      <c r="G27" s="63" t="s">
        <v>137</v>
      </c>
      <c r="H27" s="98"/>
      <c r="I27" s="16"/>
      <c r="J27" s="68" t="s">
        <v>144</v>
      </c>
      <c r="K27" s="68" t="s">
        <v>40</v>
      </c>
      <c r="L27" s="68" t="s">
        <v>57</v>
      </c>
      <c r="M27" s="80" t="s">
        <v>41</v>
      </c>
      <c r="N27" s="17"/>
    </row>
    <row r="28" spans="2:14" ht="12">
      <c r="B28" s="14"/>
      <c r="C28" s="319" t="s">
        <v>212</v>
      </c>
      <c r="D28" s="320"/>
      <c r="E28" s="64">
        <v>75</v>
      </c>
      <c r="F28" s="65">
        <v>1100</v>
      </c>
      <c r="G28" s="67">
        <f>E28*F28</f>
        <v>82500</v>
      </c>
      <c r="H28" s="98"/>
      <c r="J28" s="69"/>
      <c r="K28" s="76"/>
      <c r="L28" s="76"/>
      <c r="M28" s="81"/>
      <c r="N28" s="114"/>
    </row>
    <row r="29" spans="2:14" ht="12">
      <c r="B29" s="14"/>
      <c r="C29" s="319" t="s">
        <v>213</v>
      </c>
      <c r="D29" s="320"/>
      <c r="E29" s="64">
        <v>3</v>
      </c>
      <c r="F29" s="65">
        <v>1500</v>
      </c>
      <c r="G29" s="67">
        <f>E29*F29</f>
        <v>4500</v>
      </c>
      <c r="H29" s="98"/>
      <c r="J29" s="69"/>
      <c r="K29" s="76"/>
      <c r="L29" s="76"/>
      <c r="M29" s="81"/>
      <c r="N29" s="114"/>
    </row>
    <row r="30" spans="2:14" ht="12">
      <c r="B30" s="14"/>
      <c r="C30" s="319" t="s">
        <v>26</v>
      </c>
      <c r="D30" s="320"/>
      <c r="E30" s="64">
        <v>10</v>
      </c>
      <c r="F30" s="65">
        <v>900</v>
      </c>
      <c r="G30" s="67">
        <f>E30*F30</f>
        <v>9000</v>
      </c>
      <c r="H30" s="98"/>
      <c r="J30" s="69"/>
      <c r="K30" s="76"/>
      <c r="L30" s="76"/>
      <c r="M30" s="81"/>
      <c r="N30" s="114"/>
    </row>
    <row r="31" spans="2:14" ht="12">
      <c r="B31" s="14"/>
      <c r="C31" s="319" t="s">
        <v>27</v>
      </c>
      <c r="D31" s="320"/>
      <c r="E31" s="64">
        <v>6</v>
      </c>
      <c r="F31" s="65">
        <v>600</v>
      </c>
      <c r="G31" s="67">
        <f>E31*F31</f>
        <v>3600</v>
      </c>
      <c r="H31" s="98"/>
      <c r="J31" s="69"/>
      <c r="K31" s="76"/>
      <c r="L31" s="76"/>
      <c r="M31" s="81"/>
      <c r="N31" s="114"/>
    </row>
    <row r="32" spans="2:14" ht="12">
      <c r="B32" s="120"/>
      <c r="C32" s="319"/>
      <c r="D32" s="320"/>
      <c r="E32" s="64"/>
      <c r="F32" s="65"/>
      <c r="G32" s="67">
        <f>E32*F32</f>
        <v>0</v>
      </c>
      <c r="H32" s="98"/>
      <c r="I32" s="16"/>
      <c r="J32" s="77" t="s">
        <v>54</v>
      </c>
      <c r="K32" s="37">
        <v>22000</v>
      </c>
      <c r="L32" s="37">
        <v>11000</v>
      </c>
      <c r="M32" s="82">
        <v>1560</v>
      </c>
      <c r="N32" s="17"/>
    </row>
    <row r="33" spans="2:14" ht="12">
      <c r="B33" s="34" t="s">
        <v>151</v>
      </c>
      <c r="C33" s="23"/>
      <c r="D33" s="36"/>
      <c r="E33" s="23"/>
      <c r="F33" s="23"/>
      <c r="G33" s="71"/>
      <c r="H33" s="100">
        <f>G35+G36+G37+G38+G39+G40+G42+G43+G44+G45+G41</f>
        <v>463500</v>
      </c>
      <c r="I33" s="16"/>
      <c r="J33" s="77" t="s">
        <v>214</v>
      </c>
      <c r="K33" s="37">
        <v>75000</v>
      </c>
      <c r="L33" s="37">
        <v>25000</v>
      </c>
      <c r="M33" s="82">
        <v>6210</v>
      </c>
      <c r="N33" s="17"/>
    </row>
    <row r="34" spans="2:14" ht="12">
      <c r="B34" s="14"/>
      <c r="C34" s="63" t="s">
        <v>144</v>
      </c>
      <c r="D34" s="1"/>
      <c r="E34" s="63" t="s">
        <v>137</v>
      </c>
      <c r="F34" s="63" t="s">
        <v>146</v>
      </c>
      <c r="G34" s="63" t="s">
        <v>147</v>
      </c>
      <c r="H34" s="98"/>
      <c r="I34" s="16"/>
      <c r="J34" s="77" t="s">
        <v>52</v>
      </c>
      <c r="K34" s="37">
        <v>15000</v>
      </c>
      <c r="L34" s="37">
        <v>15000</v>
      </c>
      <c r="M34" s="82">
        <v>1100</v>
      </c>
      <c r="N34" s="17"/>
    </row>
    <row r="35" spans="2:14" ht="12">
      <c r="B35" s="14"/>
      <c r="C35" s="317" t="s">
        <v>19</v>
      </c>
      <c r="D35" s="318"/>
      <c r="E35" s="65">
        <v>81000</v>
      </c>
      <c r="F35" s="65">
        <v>20250</v>
      </c>
      <c r="G35" s="67">
        <f>E35-F35</f>
        <v>60750</v>
      </c>
      <c r="H35" s="98"/>
      <c r="J35" s="77" t="s">
        <v>25</v>
      </c>
      <c r="K35" s="37">
        <v>48000</v>
      </c>
      <c r="L35" s="37">
        <v>12000</v>
      </c>
      <c r="M35" s="82">
        <v>3750</v>
      </c>
      <c r="N35" s="17"/>
    </row>
    <row r="36" spans="2:14" ht="12">
      <c r="B36" s="14"/>
      <c r="C36" s="317" t="s">
        <v>21</v>
      </c>
      <c r="D36" s="318"/>
      <c r="E36" s="65">
        <v>28000</v>
      </c>
      <c r="F36" s="65">
        <v>12000</v>
      </c>
      <c r="G36" s="67">
        <f aca="true" t="shared" si="0" ref="G36:G45">E36-F36</f>
        <v>16000</v>
      </c>
      <c r="H36" s="98"/>
      <c r="J36" s="77"/>
      <c r="K36" s="37"/>
      <c r="L36" s="37"/>
      <c r="M36" s="82"/>
      <c r="N36" s="114"/>
    </row>
    <row r="37" spans="2:14" ht="12">
      <c r="B37" s="14"/>
      <c r="C37" s="317" t="s">
        <v>20</v>
      </c>
      <c r="D37" s="318"/>
      <c r="E37" s="65">
        <v>45000</v>
      </c>
      <c r="F37" s="65">
        <v>22500</v>
      </c>
      <c r="G37" s="67">
        <f t="shared" si="0"/>
        <v>22500</v>
      </c>
      <c r="H37" s="98"/>
      <c r="J37" s="69" t="s">
        <v>58</v>
      </c>
      <c r="K37" s="76">
        <v>21400</v>
      </c>
      <c r="L37" s="76">
        <v>10700</v>
      </c>
      <c r="M37" s="81">
        <v>1700</v>
      </c>
      <c r="N37" s="121"/>
    </row>
    <row r="38" spans="2:14" ht="12">
      <c r="B38" s="14"/>
      <c r="C38" s="317" t="s">
        <v>54</v>
      </c>
      <c r="D38" s="318"/>
      <c r="E38" s="76">
        <v>55000</v>
      </c>
      <c r="F38" s="76">
        <v>8750</v>
      </c>
      <c r="G38" s="67">
        <f t="shared" si="0"/>
        <v>46250</v>
      </c>
      <c r="H38" s="98"/>
      <c r="I38" s="16"/>
      <c r="J38" s="77"/>
      <c r="K38" s="37"/>
      <c r="L38" s="37"/>
      <c r="M38" s="82"/>
      <c r="N38" s="39"/>
    </row>
    <row r="39" spans="2:14" ht="12">
      <c r="B39" s="14"/>
      <c r="C39" s="326" t="s">
        <v>17</v>
      </c>
      <c r="D39" s="327"/>
      <c r="E39" s="65">
        <v>125000</v>
      </c>
      <c r="F39" s="65">
        <v>50000</v>
      </c>
      <c r="G39" s="67">
        <f t="shared" si="0"/>
        <v>75000</v>
      </c>
      <c r="H39" s="98"/>
      <c r="J39" s="77" t="s">
        <v>217</v>
      </c>
      <c r="K39" s="37">
        <v>42000</v>
      </c>
      <c r="L39" s="37">
        <v>6400</v>
      </c>
      <c r="M39" s="82">
        <v>3400</v>
      </c>
      <c r="N39" s="122"/>
    </row>
    <row r="40" spans="2:14" ht="12">
      <c r="B40" s="14"/>
      <c r="C40" s="317" t="s">
        <v>23</v>
      </c>
      <c r="D40" s="318"/>
      <c r="E40" s="65">
        <v>16000</v>
      </c>
      <c r="F40" s="65"/>
      <c r="G40" s="67">
        <f t="shared" si="0"/>
        <v>16000</v>
      </c>
      <c r="H40" s="98"/>
      <c r="J40" s="77" t="s">
        <v>56</v>
      </c>
      <c r="K40" s="37">
        <v>288000</v>
      </c>
      <c r="L40" s="37">
        <v>15000</v>
      </c>
      <c r="M40" s="82">
        <v>21200</v>
      </c>
      <c r="N40" s="39"/>
    </row>
    <row r="41" spans="2:14" ht="12">
      <c r="B41" s="14"/>
      <c r="C41" s="317" t="s">
        <v>51</v>
      </c>
      <c r="D41" s="318"/>
      <c r="E41" s="65">
        <v>120000</v>
      </c>
      <c r="F41" s="65">
        <v>60000</v>
      </c>
      <c r="G41" s="67">
        <f t="shared" si="0"/>
        <v>60000</v>
      </c>
      <c r="H41" s="98"/>
      <c r="I41" s="16"/>
      <c r="J41" s="77"/>
      <c r="K41" s="37"/>
      <c r="L41" s="37"/>
      <c r="M41" s="82"/>
      <c r="N41" s="39"/>
    </row>
    <row r="42" spans="2:14" ht="12">
      <c r="B42" s="14"/>
      <c r="C42" s="317" t="s">
        <v>52</v>
      </c>
      <c r="D42" s="318"/>
      <c r="E42" s="65">
        <v>75000</v>
      </c>
      <c r="F42" s="65">
        <v>10000</v>
      </c>
      <c r="G42" s="67">
        <f t="shared" si="0"/>
        <v>65000</v>
      </c>
      <c r="H42" s="98"/>
      <c r="J42" s="69"/>
      <c r="K42" s="37"/>
      <c r="L42" s="37"/>
      <c r="M42" s="82"/>
      <c r="N42" s="17"/>
    </row>
    <row r="43" spans="2:14" ht="12">
      <c r="B43" s="14"/>
      <c r="C43" s="317" t="s">
        <v>50</v>
      </c>
      <c r="D43" s="318"/>
      <c r="E43" s="65">
        <v>32000</v>
      </c>
      <c r="F43" s="65"/>
      <c r="G43" s="67">
        <f t="shared" si="0"/>
        <v>32000</v>
      </c>
      <c r="H43" s="98"/>
      <c r="J43" s="78" t="s">
        <v>46</v>
      </c>
      <c r="K43" s="79">
        <f>K32+K33+K34+K36+K37+K38+K39+K40+K41+K42</f>
        <v>463400</v>
      </c>
      <c r="L43" s="79">
        <f>SUM(L32:L42)</f>
        <v>95100</v>
      </c>
      <c r="M43" s="83">
        <f>SUM(M32:M42)</f>
        <v>38920</v>
      </c>
      <c r="N43" s="117">
        <f>K43-L43</f>
        <v>368300</v>
      </c>
    </row>
    <row r="44" spans="2:14" ht="12">
      <c r="B44" s="14"/>
      <c r="C44" s="317" t="s">
        <v>34</v>
      </c>
      <c r="D44" s="318"/>
      <c r="E44" s="65">
        <v>45000</v>
      </c>
      <c r="F44" s="65">
        <v>5000</v>
      </c>
      <c r="G44" s="67">
        <f t="shared" si="0"/>
        <v>40000</v>
      </c>
      <c r="H44" s="98"/>
      <c r="I44" s="16"/>
      <c r="J44" s="16"/>
      <c r="K44" s="16"/>
      <c r="L44" s="16"/>
      <c r="M44" s="16"/>
      <c r="N44" s="17"/>
    </row>
    <row r="45" spans="2:14" ht="12">
      <c r="B45" s="14"/>
      <c r="C45" s="319" t="s">
        <v>155</v>
      </c>
      <c r="D45" s="320"/>
      <c r="E45" s="65">
        <v>30000</v>
      </c>
      <c r="F45" s="65"/>
      <c r="G45" s="67">
        <f t="shared" si="0"/>
        <v>30000</v>
      </c>
      <c r="H45" s="98"/>
      <c r="I45" s="53" t="s">
        <v>94</v>
      </c>
      <c r="J45" s="53"/>
      <c r="K45" s="24"/>
      <c r="L45" s="24"/>
      <c r="M45" s="24"/>
      <c r="N45" s="40"/>
    </row>
    <row r="46" spans="2:14" ht="12">
      <c r="B46" s="34" t="s">
        <v>152</v>
      </c>
      <c r="C46" s="23"/>
      <c r="D46" s="36"/>
      <c r="E46" s="23"/>
      <c r="F46" s="23"/>
      <c r="G46" s="71"/>
      <c r="H46" s="97">
        <f>G50+G49+G48</f>
        <v>75000</v>
      </c>
      <c r="I46" s="24" t="s">
        <v>95</v>
      </c>
      <c r="J46" s="24"/>
      <c r="K46" s="24"/>
      <c r="L46" s="24"/>
      <c r="M46" s="24"/>
      <c r="N46" s="117">
        <f>N43+N45</f>
        <v>368300</v>
      </c>
    </row>
    <row r="47" spans="2:14" ht="12">
      <c r="B47" s="14"/>
      <c r="C47" s="63" t="s">
        <v>144</v>
      </c>
      <c r="D47" s="1"/>
      <c r="E47" s="63" t="s">
        <v>137</v>
      </c>
      <c r="F47" s="63" t="s">
        <v>146</v>
      </c>
      <c r="G47" s="63" t="s">
        <v>147</v>
      </c>
      <c r="H47" s="98"/>
      <c r="I47" s="16"/>
      <c r="J47" s="16"/>
      <c r="K47" s="16"/>
      <c r="L47" s="16"/>
      <c r="M47" s="16"/>
      <c r="N47" s="123"/>
    </row>
    <row r="48" spans="2:14" ht="12">
      <c r="B48" s="14"/>
      <c r="C48" s="329" t="s">
        <v>55</v>
      </c>
      <c r="D48" s="329"/>
      <c r="E48" s="65">
        <v>75000</v>
      </c>
      <c r="F48" s="65"/>
      <c r="G48" s="67">
        <f>E48-F48</f>
        <v>75000</v>
      </c>
      <c r="H48" s="98"/>
      <c r="I48" s="16"/>
      <c r="J48" s="16"/>
      <c r="K48" s="16"/>
      <c r="L48" s="16"/>
      <c r="M48" s="16"/>
      <c r="N48" s="123"/>
    </row>
    <row r="49" spans="2:14" ht="12">
      <c r="B49" s="14"/>
      <c r="C49" s="330"/>
      <c r="D49" s="331"/>
      <c r="E49" s="65"/>
      <c r="F49" s="65"/>
      <c r="G49" s="67">
        <f>E49-F49</f>
        <v>0</v>
      </c>
      <c r="H49" s="98"/>
      <c r="I49" s="16"/>
      <c r="J49" s="16"/>
      <c r="K49" s="16"/>
      <c r="L49" s="16"/>
      <c r="M49" s="16"/>
      <c r="N49" s="123"/>
    </row>
    <row r="50" spans="2:14" ht="12">
      <c r="B50" s="14"/>
      <c r="C50" s="330"/>
      <c r="D50" s="331"/>
      <c r="E50" s="65"/>
      <c r="F50" s="65"/>
      <c r="G50" s="67">
        <f>E50-F50</f>
        <v>0</v>
      </c>
      <c r="H50" s="98"/>
      <c r="I50" s="16"/>
      <c r="J50" s="16"/>
      <c r="K50" s="16"/>
      <c r="L50" s="16"/>
      <c r="M50" s="16"/>
      <c r="N50" s="123"/>
    </row>
    <row r="51" spans="2:14" ht="12">
      <c r="B51" s="34" t="s">
        <v>153</v>
      </c>
      <c r="C51" s="23"/>
      <c r="D51" s="23"/>
      <c r="E51" s="23"/>
      <c r="F51" s="23"/>
      <c r="G51" s="71"/>
      <c r="H51" s="100">
        <f>G53+G54+G55+G56+G57</f>
        <v>2412000</v>
      </c>
      <c r="I51" s="16"/>
      <c r="J51" s="16"/>
      <c r="K51" s="16"/>
      <c r="L51" s="16"/>
      <c r="M51" s="16"/>
      <c r="N51" s="123"/>
    </row>
    <row r="52" spans="2:14" ht="12">
      <c r="B52" s="14"/>
      <c r="C52" s="63" t="s">
        <v>144</v>
      </c>
      <c r="D52" s="63" t="s">
        <v>173</v>
      </c>
      <c r="E52" s="63" t="s">
        <v>148</v>
      </c>
      <c r="F52" s="1"/>
      <c r="G52" s="63" t="s">
        <v>149</v>
      </c>
      <c r="H52" s="98"/>
      <c r="I52" s="16"/>
      <c r="J52" s="16"/>
      <c r="K52" s="16"/>
      <c r="L52" s="16"/>
      <c r="M52" s="16"/>
      <c r="N52" s="123"/>
    </row>
    <row r="53" spans="2:14" ht="12">
      <c r="B53" s="14"/>
      <c r="C53" s="64" t="s">
        <v>217</v>
      </c>
      <c r="D53" s="64">
        <v>80</v>
      </c>
      <c r="E53" s="322">
        <v>5575</v>
      </c>
      <c r="F53" s="322"/>
      <c r="G53" s="67">
        <f>D53*E53</f>
        <v>446000</v>
      </c>
      <c r="H53" s="98"/>
      <c r="I53" s="16"/>
      <c r="J53" s="16"/>
      <c r="K53" s="16"/>
      <c r="L53" s="16"/>
      <c r="M53" s="16"/>
      <c r="N53" s="123"/>
    </row>
    <row r="54" spans="2:14" ht="12">
      <c r="B54" s="14"/>
      <c r="C54" s="64" t="s">
        <v>157</v>
      </c>
      <c r="D54" s="64">
        <v>80</v>
      </c>
      <c r="E54" s="322">
        <v>3750</v>
      </c>
      <c r="F54" s="322"/>
      <c r="G54" s="67">
        <f>D54*E54</f>
        <v>300000</v>
      </c>
      <c r="H54" s="98"/>
      <c r="I54" s="16"/>
      <c r="J54" s="16"/>
      <c r="K54" s="16"/>
      <c r="L54" s="16"/>
      <c r="M54" s="16"/>
      <c r="N54" s="123"/>
    </row>
    <row r="55" spans="2:14" ht="12">
      <c r="B55" s="14"/>
      <c r="C55" s="64" t="s">
        <v>156</v>
      </c>
      <c r="D55" s="64">
        <v>80</v>
      </c>
      <c r="E55" s="322">
        <v>4100</v>
      </c>
      <c r="F55" s="322"/>
      <c r="G55" s="67">
        <f>D55*E55</f>
        <v>328000</v>
      </c>
      <c r="H55" s="98"/>
      <c r="I55" s="16"/>
      <c r="J55" s="16"/>
      <c r="K55" s="16"/>
      <c r="L55" s="16"/>
      <c r="M55" s="16"/>
      <c r="N55" s="123"/>
    </row>
    <row r="56" spans="2:14" ht="12">
      <c r="B56" s="14"/>
      <c r="C56" s="64" t="s">
        <v>56</v>
      </c>
      <c r="D56" s="64">
        <v>240</v>
      </c>
      <c r="E56" s="322">
        <v>5575</v>
      </c>
      <c r="F56" s="322"/>
      <c r="G56" s="67">
        <f>D56*E56</f>
        <v>1338000</v>
      </c>
      <c r="H56" s="98"/>
      <c r="I56" s="16"/>
      <c r="J56" s="16"/>
      <c r="K56" s="16"/>
      <c r="L56" s="16"/>
      <c r="M56" s="16"/>
      <c r="N56" s="123"/>
    </row>
    <row r="57" spans="2:14" ht="12">
      <c r="B57" s="14"/>
      <c r="C57" s="64"/>
      <c r="D57" s="64"/>
      <c r="E57" s="322"/>
      <c r="F57" s="322"/>
      <c r="G57" s="67">
        <f>D57*E57</f>
        <v>0</v>
      </c>
      <c r="H57" s="98"/>
      <c r="I57" s="16"/>
      <c r="J57" s="16"/>
      <c r="K57" s="16"/>
      <c r="L57" s="16"/>
      <c r="M57" s="16"/>
      <c r="N57" s="123"/>
    </row>
    <row r="58" spans="2:14" ht="12">
      <c r="B58" s="34" t="s">
        <v>154</v>
      </c>
      <c r="C58" s="23"/>
      <c r="D58" s="23"/>
      <c r="E58" s="23"/>
      <c r="F58" s="23"/>
      <c r="G58" s="71"/>
      <c r="H58" s="101"/>
      <c r="I58" s="16"/>
      <c r="J58" s="16"/>
      <c r="K58" s="16"/>
      <c r="L58" s="16"/>
      <c r="M58" s="16"/>
      <c r="N58" s="123"/>
    </row>
    <row r="59" spans="2:14" ht="12">
      <c r="B59" s="124" t="s">
        <v>96</v>
      </c>
      <c r="C59" s="54"/>
      <c r="D59" s="54"/>
      <c r="E59" s="54"/>
      <c r="F59" s="54"/>
      <c r="G59" s="35"/>
      <c r="H59" s="101"/>
      <c r="I59" s="45"/>
      <c r="J59" s="45"/>
      <c r="K59" s="45"/>
      <c r="L59" s="45"/>
      <c r="M59" s="45"/>
      <c r="N59" s="114"/>
    </row>
    <row r="60" spans="2:14" ht="12.75" thickBot="1">
      <c r="B60" s="125" t="s">
        <v>97</v>
      </c>
      <c r="C60" s="19"/>
      <c r="D60" s="19"/>
      <c r="E60" s="19"/>
      <c r="F60" s="19"/>
      <c r="G60" s="72"/>
      <c r="H60" s="102">
        <f>H26+H33+H46+H51+H58+H59</f>
        <v>3050100</v>
      </c>
      <c r="I60" s="45"/>
      <c r="J60" s="45"/>
      <c r="K60" s="45"/>
      <c r="L60" s="45"/>
      <c r="M60" s="45"/>
      <c r="N60" s="114"/>
    </row>
    <row r="61" spans="2:14" ht="13.5" thickBot="1">
      <c r="B61" s="57" t="s">
        <v>98</v>
      </c>
      <c r="C61" s="58"/>
      <c r="D61" s="58"/>
      <c r="E61" s="84"/>
      <c r="F61" s="84"/>
      <c r="G61" s="85"/>
      <c r="H61" s="146">
        <f>(H24+H60)</f>
        <v>3641462.65</v>
      </c>
      <c r="I61" s="58" t="s">
        <v>99</v>
      </c>
      <c r="J61" s="58"/>
      <c r="K61" s="86"/>
      <c r="L61" s="86"/>
      <c r="M61" s="86"/>
      <c r="N61" s="147">
        <f>N24+N46</f>
        <v>741999</v>
      </c>
    </row>
    <row r="62" spans="2:14" ht="13.5" thickBot="1">
      <c r="B62" s="141" t="s">
        <v>100</v>
      </c>
      <c r="C62" s="142"/>
      <c r="D62" s="142"/>
      <c r="E62" s="51"/>
      <c r="F62" s="51"/>
      <c r="G62" s="143"/>
      <c r="H62" s="149">
        <f>(H61-N61)</f>
        <v>2899463.65</v>
      </c>
      <c r="I62" s="144"/>
      <c r="J62" s="144"/>
      <c r="K62" s="144"/>
      <c r="L62" s="144"/>
      <c r="M62" s="144"/>
      <c r="N62" s="145"/>
    </row>
    <row r="63" spans="2:14" ht="12.75">
      <c r="B63" s="22" t="s">
        <v>101</v>
      </c>
      <c r="C63" s="31"/>
      <c r="D63" s="31"/>
      <c r="E63" s="23"/>
      <c r="F63" s="23"/>
      <c r="G63" s="35"/>
      <c r="H63" s="148"/>
      <c r="I63" s="88" t="s">
        <v>102</v>
      </c>
      <c r="J63" s="88"/>
      <c r="K63" s="23"/>
      <c r="L63" s="23"/>
      <c r="M63" s="23"/>
      <c r="N63" s="126">
        <f>H24-N24</f>
        <v>217663.65000000002</v>
      </c>
    </row>
    <row r="64" spans="2:14" ht="12.75">
      <c r="B64" s="22" t="s">
        <v>103</v>
      </c>
      <c r="C64" s="31"/>
      <c r="D64" s="31"/>
      <c r="E64" s="23"/>
      <c r="F64" s="23"/>
      <c r="G64" s="87"/>
      <c r="H64" s="103">
        <f>(H62-H63)</f>
        <v>2899463.65</v>
      </c>
      <c r="I64" s="31" t="s">
        <v>104</v>
      </c>
      <c r="J64" s="31"/>
      <c r="K64" s="23"/>
      <c r="L64" s="23"/>
      <c r="M64" s="89"/>
      <c r="N64" s="127">
        <f>(IF(N24,H24/N24,0))</f>
        <v>1.5824571379639765</v>
      </c>
    </row>
    <row r="65" spans="2:14" ht="15.75">
      <c r="B65" s="128" t="s">
        <v>105</v>
      </c>
      <c r="C65" s="90"/>
      <c r="D65" s="90"/>
      <c r="E65" s="91"/>
      <c r="F65" s="91"/>
      <c r="G65" s="92"/>
      <c r="H65" s="104" t="str">
        <f>IF(H63&gt;0,H64/H63," ")</f>
        <v> </v>
      </c>
      <c r="I65" s="31" t="s">
        <v>106</v>
      </c>
      <c r="J65" s="31"/>
      <c r="K65" s="23"/>
      <c r="L65" s="23"/>
      <c r="M65" s="23"/>
      <c r="N65" s="129">
        <f>IF(H61,N61/H61,0)</f>
        <v>0.20376400125921929</v>
      </c>
    </row>
    <row r="66" spans="2:14" ht="12">
      <c r="B66" s="130"/>
      <c r="C66" s="48"/>
      <c r="D66" s="48"/>
      <c r="E66" s="15"/>
      <c r="F66" s="15"/>
      <c r="G66" s="15"/>
      <c r="H66" s="21"/>
      <c r="I66" s="48"/>
      <c r="J66" s="48"/>
      <c r="K66" s="15"/>
      <c r="L66" s="15"/>
      <c r="M66" s="15"/>
      <c r="N66" s="21"/>
    </row>
    <row r="67" spans="2:14" ht="12.75">
      <c r="B67" s="131" t="s">
        <v>107</v>
      </c>
      <c r="C67" s="46"/>
      <c r="D67" s="46"/>
      <c r="E67" s="49"/>
      <c r="F67" s="49"/>
      <c r="G67" s="47"/>
      <c r="H67" s="105"/>
      <c r="I67" s="30" t="s">
        <v>108</v>
      </c>
      <c r="J67" s="30"/>
      <c r="K67" s="30"/>
      <c r="L67" s="30"/>
      <c r="M67" s="30"/>
      <c r="N67" s="132"/>
    </row>
    <row r="68" spans="2:14" ht="12.75">
      <c r="B68" s="133" t="s">
        <v>109</v>
      </c>
      <c r="C68" s="93"/>
      <c r="D68" s="93"/>
      <c r="E68" s="93"/>
      <c r="F68" s="93"/>
      <c r="G68" s="93"/>
      <c r="H68" s="106"/>
      <c r="I68" s="93" t="s">
        <v>110</v>
      </c>
      <c r="J68" s="93"/>
      <c r="K68" s="93"/>
      <c r="L68" s="93"/>
      <c r="M68" s="93"/>
      <c r="N68" s="106"/>
    </row>
    <row r="69" spans="2:14" ht="12.75">
      <c r="B69" s="133" t="s">
        <v>111</v>
      </c>
      <c r="C69" s="93"/>
      <c r="D69" s="93"/>
      <c r="E69" s="93"/>
      <c r="F69" s="93"/>
      <c r="G69" s="93"/>
      <c r="H69" s="106"/>
      <c r="I69" s="93" t="s">
        <v>112</v>
      </c>
      <c r="J69" s="93"/>
      <c r="K69" s="93"/>
      <c r="L69" s="93"/>
      <c r="M69" s="93"/>
      <c r="N69" s="106"/>
    </row>
    <row r="70" spans="2:14" ht="12.75">
      <c r="B70" s="133" t="s">
        <v>113</v>
      </c>
      <c r="C70" s="93"/>
      <c r="D70" s="93"/>
      <c r="E70" s="93"/>
      <c r="F70" s="93"/>
      <c r="G70" s="93"/>
      <c r="H70" s="106"/>
      <c r="I70" s="93" t="s">
        <v>114</v>
      </c>
      <c r="J70" s="93"/>
      <c r="K70" s="93"/>
      <c r="L70" s="93"/>
      <c r="M70" s="93"/>
      <c r="N70" s="106"/>
    </row>
    <row r="71" spans="2:14" ht="12.75">
      <c r="B71" s="133" t="s">
        <v>115</v>
      </c>
      <c r="C71" s="93"/>
      <c r="D71" s="93"/>
      <c r="E71" s="93"/>
      <c r="F71" s="93"/>
      <c r="G71" s="93"/>
      <c r="H71" s="106"/>
      <c r="I71" s="93" t="s">
        <v>116</v>
      </c>
      <c r="J71" s="93"/>
      <c r="K71" s="93"/>
      <c r="L71" s="93"/>
      <c r="M71" s="93"/>
      <c r="N71" s="106"/>
    </row>
    <row r="72" spans="2:14" ht="12.75">
      <c r="B72" s="133" t="s">
        <v>117</v>
      </c>
      <c r="C72" s="93"/>
      <c r="D72" s="93"/>
      <c r="E72" s="93"/>
      <c r="F72" s="93"/>
      <c r="G72" s="93"/>
      <c r="H72" s="106"/>
      <c r="I72" s="93" t="s">
        <v>118</v>
      </c>
      <c r="J72" s="93"/>
      <c r="K72" s="93"/>
      <c r="L72" s="93"/>
      <c r="M72" s="93"/>
      <c r="N72" s="106"/>
    </row>
    <row r="73" spans="2:14" ht="12.75">
      <c r="B73" s="134" t="s">
        <v>119</v>
      </c>
      <c r="C73" s="94"/>
      <c r="D73" s="94"/>
      <c r="E73" s="94"/>
      <c r="F73" s="94"/>
      <c r="G73" s="94"/>
      <c r="H73" s="106"/>
      <c r="I73" s="94" t="s">
        <v>120</v>
      </c>
      <c r="J73" s="94"/>
      <c r="K73" s="94"/>
      <c r="L73" s="94"/>
      <c r="M73" s="94"/>
      <c r="N73" s="106"/>
    </row>
    <row r="74" spans="2:14" ht="12.75">
      <c r="B74" s="133" t="s">
        <v>121</v>
      </c>
      <c r="C74" s="93"/>
      <c r="D74" s="93"/>
      <c r="E74" s="93"/>
      <c r="F74" s="93"/>
      <c r="G74" s="93"/>
      <c r="H74" s="107">
        <f>SUM(H68:H73)</f>
        <v>0</v>
      </c>
      <c r="I74" s="93" t="s">
        <v>122</v>
      </c>
      <c r="J74" s="93"/>
      <c r="K74" s="93"/>
      <c r="L74" s="93"/>
      <c r="M74" s="93"/>
      <c r="N74" s="107">
        <f>SUM(N68:N73)</f>
        <v>0</v>
      </c>
    </row>
    <row r="75" spans="2:14" ht="13.5" thickBot="1">
      <c r="B75" s="135" t="s">
        <v>123</v>
      </c>
      <c r="C75" s="95"/>
      <c r="D75" s="95"/>
      <c r="E75" s="95"/>
      <c r="F75" s="95"/>
      <c r="G75" s="95"/>
      <c r="H75" s="150">
        <f>(H74-N74)</f>
        <v>0</v>
      </c>
      <c r="I75" s="95" t="s">
        <v>124</v>
      </c>
      <c r="J75" s="95"/>
      <c r="K75" s="95"/>
      <c r="L75" s="95"/>
      <c r="M75" s="95"/>
      <c r="N75" s="136">
        <f>IF(H74,N74/H74,0)</f>
        <v>0</v>
      </c>
    </row>
    <row r="76" spans="2:14" ht="15.75" thickBot="1">
      <c r="B76" s="25" t="s">
        <v>125</v>
      </c>
      <c r="C76" s="26"/>
      <c r="D76" s="26"/>
      <c r="E76" s="26"/>
      <c r="F76" s="26"/>
      <c r="G76" s="27"/>
      <c r="H76" s="151">
        <f>(H62+H75)</f>
        <v>2899463.65</v>
      </c>
      <c r="I76" s="137" t="s">
        <v>126</v>
      </c>
      <c r="J76" s="28"/>
      <c r="K76" s="28"/>
      <c r="L76" s="28"/>
      <c r="M76" s="28"/>
      <c r="N76" s="138">
        <f>IF(H61+H74,(N61+N74)/(H61+H74),0)</f>
        <v>0.20376400125921929</v>
      </c>
    </row>
  </sheetData>
  <sheetProtection/>
  <mergeCells count="25">
    <mergeCell ref="C48:D48"/>
    <mergeCell ref="E53:F53"/>
    <mergeCell ref="E54:F54"/>
    <mergeCell ref="E55:F55"/>
    <mergeCell ref="C49:D49"/>
    <mergeCell ref="C50:D50"/>
    <mergeCell ref="E56:F56"/>
    <mergeCell ref="E57:F57"/>
    <mergeCell ref="C28:D28"/>
    <mergeCell ref="C29:D29"/>
    <mergeCell ref="C30:D30"/>
    <mergeCell ref="C31:D31"/>
    <mergeCell ref="C32:D32"/>
    <mergeCell ref="C35:D35"/>
    <mergeCell ref="C36:D36"/>
    <mergeCell ref="C37:D37"/>
    <mergeCell ref="C45:D45"/>
    <mergeCell ref="C38:D38"/>
    <mergeCell ref="C39:D39"/>
    <mergeCell ref="C40:D40"/>
    <mergeCell ref="C41:D41"/>
    <mergeCell ref="B1:H1"/>
    <mergeCell ref="C42:D42"/>
    <mergeCell ref="C43:D43"/>
    <mergeCell ref="C44:D44"/>
  </mergeCells>
  <printOptions/>
  <pageMargins left="0.5" right="0.5" top="0.5" bottom="0.5" header="0.25" footer="0.2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B1:N76"/>
  <sheetViews>
    <sheetView zoomScale="75" zoomScaleNormal="75" zoomScalePageLayoutView="0" workbookViewId="0" topLeftCell="B43">
      <selection activeCell="G37" sqref="G37"/>
    </sheetView>
  </sheetViews>
  <sheetFormatPr defaultColWidth="9.140625" defaultRowHeight="12.75"/>
  <cols>
    <col min="1" max="1" width="2.421875" style="9" customWidth="1"/>
    <col min="2" max="2" width="12.421875" style="9" customWidth="1"/>
    <col min="3" max="3" width="12.00390625" style="9" customWidth="1"/>
    <col min="4" max="4" width="10.140625" style="9" customWidth="1"/>
    <col min="5" max="5" width="13.28125" style="9" customWidth="1"/>
    <col min="6" max="6" width="12.28125" style="9" bestFit="1" customWidth="1"/>
    <col min="7" max="7" width="12.8515625" style="9" bestFit="1" customWidth="1"/>
    <col min="8" max="8" width="15.7109375" style="9" bestFit="1" customWidth="1"/>
    <col min="9" max="9" width="10.28125" style="9" customWidth="1"/>
    <col min="10" max="10" width="21.421875" style="9" customWidth="1"/>
    <col min="11" max="11" width="17.28125" style="9" bestFit="1" customWidth="1"/>
    <col min="12" max="12" width="16.7109375" style="9" bestFit="1" customWidth="1"/>
    <col min="13" max="13" width="15.00390625" style="9" bestFit="1" customWidth="1"/>
    <col min="14" max="14" width="15.7109375" style="9" bestFit="1" customWidth="1"/>
    <col min="15" max="16384" width="9.140625" style="9" customWidth="1"/>
  </cols>
  <sheetData>
    <row r="1" spans="2:8" ht="12">
      <c r="B1" s="328" t="s">
        <v>60</v>
      </c>
      <c r="C1" s="328"/>
      <c r="D1" s="328"/>
      <c r="E1" s="328"/>
      <c r="F1" s="328"/>
      <c r="G1" s="328"/>
      <c r="H1" s="328"/>
    </row>
    <row r="2" spans="9:10" ht="12">
      <c r="I2" s="9" t="s">
        <v>32</v>
      </c>
      <c r="J2" s="41">
        <v>39448</v>
      </c>
    </row>
    <row r="3" ht="12.75" thickBot="1"/>
    <row r="4" spans="2:14" ht="15">
      <c r="B4" s="108" t="s">
        <v>218</v>
      </c>
      <c r="C4" s="109"/>
      <c r="D4" s="109"/>
      <c r="E4" s="110" t="s">
        <v>219</v>
      </c>
      <c r="F4" s="110"/>
      <c r="G4" s="111"/>
      <c r="H4" s="112" t="s">
        <v>220</v>
      </c>
      <c r="I4" s="109" t="s">
        <v>49</v>
      </c>
      <c r="J4" s="113"/>
      <c r="K4" s="110"/>
      <c r="L4" s="110"/>
      <c r="M4" s="110"/>
      <c r="N4" s="112" t="s">
        <v>220</v>
      </c>
    </row>
    <row r="5" spans="2:14" ht="12">
      <c r="B5" s="11" t="s">
        <v>85</v>
      </c>
      <c r="C5" s="29"/>
      <c r="D5" s="29"/>
      <c r="E5" s="12"/>
      <c r="F5" s="12"/>
      <c r="G5" s="32"/>
      <c r="H5" s="13"/>
      <c r="I5" s="29" t="s">
        <v>86</v>
      </c>
      <c r="J5" s="29"/>
      <c r="K5" s="12"/>
      <c r="L5" s="12"/>
      <c r="M5" s="12"/>
      <c r="N5" s="13"/>
    </row>
    <row r="6" spans="2:14" ht="12">
      <c r="B6" s="34" t="s">
        <v>87</v>
      </c>
      <c r="C6" s="23"/>
      <c r="D6" s="23"/>
      <c r="E6" s="23"/>
      <c r="F6" s="23"/>
      <c r="G6" s="35"/>
      <c r="H6" s="96">
        <v>12500</v>
      </c>
      <c r="I6" s="24" t="s">
        <v>28</v>
      </c>
      <c r="J6" s="24"/>
      <c r="K6" s="24"/>
      <c r="L6" s="24"/>
      <c r="M6" s="24"/>
      <c r="N6" s="40">
        <v>0</v>
      </c>
    </row>
    <row r="7" spans="2:14" ht="12">
      <c r="B7" s="34" t="s">
        <v>130</v>
      </c>
      <c r="C7" s="23"/>
      <c r="D7" s="23"/>
      <c r="E7" s="23"/>
      <c r="F7" s="23"/>
      <c r="G7" s="50"/>
      <c r="H7" s="97">
        <f>F9+F10+F11+F12+F13</f>
        <v>171500</v>
      </c>
      <c r="I7" s="24" t="s">
        <v>29</v>
      </c>
      <c r="J7" s="24"/>
      <c r="K7" s="24"/>
      <c r="L7" s="24"/>
      <c r="M7" s="24"/>
      <c r="N7" s="40">
        <v>6560</v>
      </c>
    </row>
    <row r="8" spans="2:14" ht="12">
      <c r="B8" s="14"/>
      <c r="C8" s="1" t="s">
        <v>128</v>
      </c>
      <c r="D8" s="63" t="s">
        <v>127</v>
      </c>
      <c r="E8" s="63" t="s">
        <v>129</v>
      </c>
      <c r="F8" s="63" t="s">
        <v>137</v>
      </c>
      <c r="G8" s="33"/>
      <c r="H8" s="98"/>
      <c r="I8" s="24" t="s">
        <v>36</v>
      </c>
      <c r="J8" s="24"/>
      <c r="K8" s="24"/>
      <c r="L8" s="24"/>
      <c r="M8" s="24"/>
      <c r="N8" s="20"/>
    </row>
    <row r="9" spans="2:14" ht="12">
      <c r="B9" s="14"/>
      <c r="C9" s="64" t="s">
        <v>138</v>
      </c>
      <c r="D9" s="64">
        <v>20000</v>
      </c>
      <c r="E9" s="65">
        <v>4.73</v>
      </c>
      <c r="F9" s="67">
        <f>D9*E9</f>
        <v>94600.00000000001</v>
      </c>
      <c r="G9" s="33"/>
      <c r="H9" s="98"/>
      <c r="I9" s="16"/>
      <c r="J9" s="70" t="s">
        <v>144</v>
      </c>
      <c r="K9" s="70" t="s">
        <v>31</v>
      </c>
      <c r="L9" s="70" t="s">
        <v>35</v>
      </c>
      <c r="N9" s="17"/>
    </row>
    <row r="10" spans="2:14" ht="12">
      <c r="B10" s="14"/>
      <c r="C10" s="64" t="s">
        <v>139</v>
      </c>
      <c r="D10" s="64">
        <v>6000</v>
      </c>
      <c r="E10" s="65">
        <v>12.35</v>
      </c>
      <c r="F10" s="67">
        <f>D10*E10</f>
        <v>74100</v>
      </c>
      <c r="G10" s="33"/>
      <c r="H10" s="98"/>
      <c r="I10" s="16"/>
      <c r="J10" s="77" t="s">
        <v>33</v>
      </c>
      <c r="K10" s="37">
        <v>25000</v>
      </c>
      <c r="L10" s="37">
        <v>1720</v>
      </c>
      <c r="N10" s="17"/>
    </row>
    <row r="11" spans="2:14" ht="12">
      <c r="B11" s="14"/>
      <c r="C11" s="64" t="s">
        <v>140</v>
      </c>
      <c r="D11" s="64">
        <v>40</v>
      </c>
      <c r="E11" s="65">
        <v>70</v>
      </c>
      <c r="F11" s="67">
        <f>D11*E11</f>
        <v>2800</v>
      </c>
      <c r="G11" s="33"/>
      <c r="H11" s="98"/>
      <c r="I11" s="16"/>
      <c r="J11" s="77"/>
      <c r="K11" s="37"/>
      <c r="L11" s="37"/>
      <c r="N11" s="17"/>
    </row>
    <row r="12" spans="2:14" ht="12">
      <c r="B12" s="14"/>
      <c r="C12" s="64"/>
      <c r="D12" s="64"/>
      <c r="E12" s="65"/>
      <c r="F12" s="67">
        <f>D12*E12</f>
        <v>0</v>
      </c>
      <c r="G12" s="33"/>
      <c r="H12" s="98"/>
      <c r="I12" s="16"/>
      <c r="J12" s="77"/>
      <c r="K12" s="37"/>
      <c r="L12" s="37"/>
      <c r="N12" s="17"/>
    </row>
    <row r="13" spans="2:14" ht="12">
      <c r="B13" s="14"/>
      <c r="C13" s="64"/>
      <c r="D13" s="64"/>
      <c r="E13" s="65"/>
      <c r="F13" s="67">
        <f>D13*E13</f>
        <v>0</v>
      </c>
      <c r="G13" s="33"/>
      <c r="H13" s="98"/>
      <c r="J13" s="69"/>
      <c r="K13" s="69"/>
      <c r="L13" s="69"/>
      <c r="N13" s="114"/>
    </row>
    <row r="14" spans="2:14" ht="12">
      <c r="B14" s="34" t="s">
        <v>131</v>
      </c>
      <c r="C14" s="23"/>
      <c r="D14" s="23"/>
      <c r="E14" s="23"/>
      <c r="F14" s="23"/>
      <c r="G14" s="50"/>
      <c r="H14" s="96">
        <v>250</v>
      </c>
      <c r="J14" s="73"/>
      <c r="K14" s="73"/>
      <c r="L14" s="73"/>
      <c r="N14" s="114"/>
    </row>
    <row r="15" spans="2:14" ht="12">
      <c r="B15" s="34" t="s">
        <v>132</v>
      </c>
      <c r="C15" s="23"/>
      <c r="D15" s="23"/>
      <c r="E15" s="23"/>
      <c r="F15" s="23"/>
      <c r="G15" s="50"/>
      <c r="H15" s="96">
        <v>12000</v>
      </c>
      <c r="I15" s="24" t="s">
        <v>31</v>
      </c>
      <c r="J15" s="24"/>
      <c r="K15" s="24"/>
      <c r="L15" s="24"/>
      <c r="M15" s="24"/>
      <c r="N15" s="115">
        <f>K10+K11+K12+K13+K14</f>
        <v>25000</v>
      </c>
    </row>
    <row r="16" spans="2:14" ht="12">
      <c r="B16" s="116" t="s">
        <v>141</v>
      </c>
      <c r="C16" s="51"/>
      <c r="D16" s="51"/>
      <c r="E16" s="51"/>
      <c r="F16" s="51"/>
      <c r="G16" s="52"/>
      <c r="H16" s="38">
        <f>G18+G19+G20</f>
        <v>0</v>
      </c>
      <c r="I16" s="24" t="s">
        <v>30</v>
      </c>
      <c r="J16" s="24"/>
      <c r="K16" s="24"/>
      <c r="L16" s="24"/>
      <c r="M16" s="24"/>
      <c r="N16" s="117">
        <f>L10+L11+L12+L13+L14</f>
        <v>1720</v>
      </c>
    </row>
    <row r="17" spans="2:14" ht="12">
      <c r="B17" s="14"/>
      <c r="C17" s="63" t="s">
        <v>133</v>
      </c>
      <c r="D17" s="63" t="s">
        <v>127</v>
      </c>
      <c r="E17" s="63" t="s">
        <v>136</v>
      </c>
      <c r="F17" s="66" t="s">
        <v>135</v>
      </c>
      <c r="G17" s="74" t="s">
        <v>137</v>
      </c>
      <c r="H17" s="98"/>
      <c r="I17" s="24" t="s">
        <v>38</v>
      </c>
      <c r="J17" s="36"/>
      <c r="K17" s="24"/>
      <c r="L17" s="24"/>
      <c r="M17" s="24"/>
      <c r="N17" s="117">
        <f>L43</f>
        <v>45000</v>
      </c>
    </row>
    <row r="18" spans="2:14" ht="12">
      <c r="B18" s="14"/>
      <c r="C18" s="64"/>
      <c r="D18" s="64"/>
      <c r="E18" s="64"/>
      <c r="F18" s="65"/>
      <c r="G18" s="75">
        <f>D18*E18*F18</f>
        <v>0</v>
      </c>
      <c r="H18" s="98"/>
      <c r="I18" s="24" t="s">
        <v>37</v>
      </c>
      <c r="J18" s="24"/>
      <c r="K18" s="24"/>
      <c r="L18" s="24"/>
      <c r="M18" s="24"/>
      <c r="N18" s="117">
        <f>M43</f>
        <v>2800</v>
      </c>
    </row>
    <row r="19" spans="2:14" ht="12">
      <c r="B19" s="14"/>
      <c r="C19" s="64"/>
      <c r="D19" s="64"/>
      <c r="E19" s="64"/>
      <c r="F19" s="65"/>
      <c r="G19" s="75">
        <f>D19*E19*F19</f>
        <v>0</v>
      </c>
      <c r="H19" s="98"/>
      <c r="N19" s="114"/>
    </row>
    <row r="20" spans="2:14" ht="12">
      <c r="B20" s="14"/>
      <c r="C20" s="64"/>
      <c r="D20" s="64"/>
      <c r="E20" s="64"/>
      <c r="F20" s="65"/>
      <c r="G20" s="75">
        <f>D20*E20*F20</f>
        <v>0</v>
      </c>
      <c r="H20" s="98"/>
      <c r="I20" s="53" t="s">
        <v>47</v>
      </c>
      <c r="J20" s="24"/>
      <c r="K20" s="24"/>
      <c r="L20" s="24"/>
      <c r="M20" s="24"/>
      <c r="N20" s="40">
        <v>14800</v>
      </c>
    </row>
    <row r="21" spans="2:14" ht="12">
      <c r="B21" s="34" t="s">
        <v>142</v>
      </c>
      <c r="C21" s="23"/>
      <c r="D21" s="23"/>
      <c r="E21" s="23"/>
      <c r="F21" s="23"/>
      <c r="G21" s="50"/>
      <c r="H21" s="96"/>
      <c r="I21" s="53" t="s">
        <v>89</v>
      </c>
      <c r="J21" s="53"/>
      <c r="K21" s="53"/>
      <c r="L21" s="53"/>
      <c r="M21" s="53"/>
      <c r="N21" s="18"/>
    </row>
    <row r="22" spans="2:14" ht="12">
      <c r="B22" s="34" t="s">
        <v>143</v>
      </c>
      <c r="C22" s="23"/>
      <c r="D22" s="23"/>
      <c r="E22" s="23"/>
      <c r="F22" s="23"/>
      <c r="G22" s="50"/>
      <c r="H22" s="96"/>
      <c r="I22" s="16"/>
      <c r="J22" s="16"/>
      <c r="K22" s="16"/>
      <c r="L22" s="16"/>
      <c r="M22" s="16"/>
      <c r="N22" s="17"/>
    </row>
    <row r="23" spans="2:14" ht="12.75" thickBot="1">
      <c r="B23" s="118" t="s">
        <v>88</v>
      </c>
      <c r="C23" s="55"/>
      <c r="D23" s="55"/>
      <c r="E23" s="55"/>
      <c r="F23" s="55"/>
      <c r="G23" s="56"/>
      <c r="H23" s="99"/>
      <c r="N23" s="114"/>
    </row>
    <row r="24" spans="2:14" ht="13.5" thickBot="1">
      <c r="B24" s="57" t="s">
        <v>90</v>
      </c>
      <c r="C24" s="58"/>
      <c r="D24" s="58"/>
      <c r="E24" s="59"/>
      <c r="F24" s="59"/>
      <c r="G24" s="60"/>
      <c r="H24" s="139">
        <f>SUM(H6:H23)</f>
        <v>196250</v>
      </c>
      <c r="I24" s="61" t="s">
        <v>91</v>
      </c>
      <c r="J24" s="61"/>
      <c r="K24" s="62"/>
      <c r="L24" s="62"/>
      <c r="M24" s="62"/>
      <c r="N24" s="140">
        <f>SUM(N6:N22)</f>
        <v>95880</v>
      </c>
    </row>
    <row r="25" spans="2:14" ht="12">
      <c r="B25" s="119" t="s">
        <v>92</v>
      </c>
      <c r="C25" s="43"/>
      <c r="D25" s="43"/>
      <c r="E25" s="15"/>
      <c r="F25" s="15"/>
      <c r="G25" s="42"/>
      <c r="H25" s="98"/>
      <c r="I25" s="44" t="s">
        <v>93</v>
      </c>
      <c r="J25" s="44"/>
      <c r="K25" s="16"/>
      <c r="L25" s="16"/>
      <c r="M25" s="16"/>
      <c r="N25" s="17"/>
    </row>
    <row r="26" spans="2:14" ht="12">
      <c r="B26" s="34" t="s">
        <v>150</v>
      </c>
      <c r="C26" s="23"/>
      <c r="D26" s="23"/>
      <c r="E26" s="23"/>
      <c r="F26" s="23"/>
      <c r="G26" s="71"/>
      <c r="H26" s="97">
        <f>G28+G29+G30+G31+G32</f>
        <v>23800</v>
      </c>
      <c r="I26" s="24" t="s">
        <v>39</v>
      </c>
      <c r="J26" s="24"/>
      <c r="K26" s="24"/>
      <c r="L26" s="24"/>
      <c r="M26" s="24"/>
      <c r="N26" s="17"/>
    </row>
    <row r="27" spans="2:14" ht="12">
      <c r="B27" s="14"/>
      <c r="C27" s="63" t="s">
        <v>144</v>
      </c>
      <c r="D27" s="1"/>
      <c r="E27" s="63" t="s">
        <v>134</v>
      </c>
      <c r="F27" s="63" t="s">
        <v>145</v>
      </c>
      <c r="G27" s="63" t="s">
        <v>137</v>
      </c>
      <c r="H27" s="98"/>
      <c r="I27" s="16"/>
      <c r="J27" s="68" t="s">
        <v>144</v>
      </c>
      <c r="K27" s="68" t="s">
        <v>40</v>
      </c>
      <c r="L27" s="68" t="s">
        <v>57</v>
      </c>
      <c r="M27" s="80" t="s">
        <v>41</v>
      </c>
      <c r="N27" s="17"/>
    </row>
    <row r="28" spans="2:14" ht="12">
      <c r="B28" s="14"/>
      <c r="C28" s="319" t="s">
        <v>212</v>
      </c>
      <c r="D28" s="320"/>
      <c r="E28" s="64">
        <v>25</v>
      </c>
      <c r="F28" s="65">
        <v>800</v>
      </c>
      <c r="G28" s="67">
        <f>E28*F28</f>
        <v>20000</v>
      </c>
      <c r="H28" s="98"/>
      <c r="J28" s="69"/>
      <c r="K28" s="76"/>
      <c r="L28" s="76"/>
      <c r="M28" s="81"/>
      <c r="N28" s="114"/>
    </row>
    <row r="29" spans="2:14" ht="12">
      <c r="B29" s="14"/>
      <c r="C29" s="319" t="s">
        <v>213</v>
      </c>
      <c r="D29" s="320"/>
      <c r="E29" s="64">
        <v>1</v>
      </c>
      <c r="F29" s="65">
        <v>1000</v>
      </c>
      <c r="G29" s="67">
        <f>E29*F29</f>
        <v>1000</v>
      </c>
      <c r="H29" s="98"/>
      <c r="J29" s="69"/>
      <c r="K29" s="76"/>
      <c r="L29" s="76"/>
      <c r="M29" s="81"/>
      <c r="N29" s="114"/>
    </row>
    <row r="30" spans="2:14" ht="12">
      <c r="B30" s="14"/>
      <c r="C30" s="319" t="s">
        <v>26</v>
      </c>
      <c r="D30" s="320"/>
      <c r="E30" s="64">
        <v>2</v>
      </c>
      <c r="F30" s="65">
        <v>800</v>
      </c>
      <c r="G30" s="67">
        <f>E30*F30</f>
        <v>1600</v>
      </c>
      <c r="H30" s="98"/>
      <c r="J30" s="69"/>
      <c r="K30" s="76"/>
      <c r="L30" s="76"/>
      <c r="M30" s="81"/>
      <c r="N30" s="114"/>
    </row>
    <row r="31" spans="2:14" ht="12">
      <c r="B31" s="14"/>
      <c r="C31" s="319" t="s">
        <v>27</v>
      </c>
      <c r="D31" s="320"/>
      <c r="E31" s="64">
        <v>2</v>
      </c>
      <c r="F31" s="65">
        <v>600</v>
      </c>
      <c r="G31" s="67">
        <f>E31*F31</f>
        <v>1200</v>
      </c>
      <c r="H31" s="98"/>
      <c r="J31" s="69"/>
      <c r="K31" s="76"/>
      <c r="L31" s="76"/>
      <c r="M31" s="81"/>
      <c r="N31" s="114"/>
    </row>
    <row r="32" spans="2:14" ht="12">
      <c r="B32" s="120"/>
      <c r="C32" s="319"/>
      <c r="D32" s="320"/>
      <c r="E32" s="64"/>
      <c r="F32" s="65"/>
      <c r="G32" s="67">
        <f>E32*F32</f>
        <v>0</v>
      </c>
      <c r="H32" s="98"/>
      <c r="I32" s="16"/>
      <c r="J32" s="77"/>
      <c r="K32" s="37"/>
      <c r="L32" s="37"/>
      <c r="M32" s="82"/>
      <c r="N32" s="17"/>
    </row>
    <row r="33" spans="2:14" ht="12">
      <c r="B33" s="34" t="s">
        <v>151</v>
      </c>
      <c r="C33" s="23"/>
      <c r="D33" s="36"/>
      <c r="E33" s="23"/>
      <c r="F33" s="23"/>
      <c r="G33" s="71"/>
      <c r="H33" s="100">
        <f>G35+G36+G37+G38+G39+G40+G42+G43+G44+G45+G41</f>
        <v>264500</v>
      </c>
      <c r="I33" s="16"/>
      <c r="J33" s="77"/>
      <c r="K33" s="37"/>
      <c r="L33" s="37"/>
      <c r="M33" s="82"/>
      <c r="N33" s="17"/>
    </row>
    <row r="34" spans="2:14" ht="12">
      <c r="B34" s="14"/>
      <c r="C34" s="63" t="s">
        <v>144</v>
      </c>
      <c r="D34" s="1"/>
      <c r="E34" s="63" t="s">
        <v>137</v>
      </c>
      <c r="F34" s="63" t="s">
        <v>146</v>
      </c>
      <c r="G34" s="63" t="s">
        <v>147</v>
      </c>
      <c r="H34" s="98"/>
      <c r="I34" s="16"/>
      <c r="J34" s="77" t="s">
        <v>55</v>
      </c>
      <c r="K34" s="37">
        <v>11500</v>
      </c>
      <c r="L34" s="37">
        <v>11000</v>
      </c>
      <c r="M34" s="82">
        <v>500</v>
      </c>
      <c r="N34" s="17"/>
    </row>
    <row r="35" spans="2:14" ht="12">
      <c r="B35" s="14"/>
      <c r="C35" s="332" t="s">
        <v>53</v>
      </c>
      <c r="D35" s="333"/>
      <c r="E35" s="65">
        <v>125000</v>
      </c>
      <c r="F35" s="65">
        <v>50000</v>
      </c>
      <c r="G35" s="67">
        <f>E35-F35</f>
        <v>75000</v>
      </c>
      <c r="H35" s="98"/>
      <c r="J35" s="77"/>
      <c r="K35" s="37"/>
      <c r="L35" s="37"/>
      <c r="M35" s="82"/>
      <c r="N35" s="17"/>
    </row>
    <row r="36" spans="2:14" ht="12">
      <c r="B36" s="14"/>
      <c r="C36" s="317" t="s">
        <v>21</v>
      </c>
      <c r="D36" s="318"/>
      <c r="E36" s="65">
        <v>28000</v>
      </c>
      <c r="F36" s="65">
        <v>16000</v>
      </c>
      <c r="G36" s="67">
        <f aca="true" t="shared" si="0" ref="G36:G45">E36-F36</f>
        <v>12000</v>
      </c>
      <c r="H36" s="98"/>
      <c r="J36" s="77"/>
      <c r="K36" s="37"/>
      <c r="L36" s="37"/>
      <c r="M36" s="82"/>
      <c r="N36" s="114"/>
    </row>
    <row r="37" spans="2:14" ht="12">
      <c r="B37" s="14"/>
      <c r="C37" s="317" t="s">
        <v>20</v>
      </c>
      <c r="D37" s="318"/>
      <c r="E37" s="65">
        <v>45000</v>
      </c>
      <c r="F37" s="65">
        <v>22500</v>
      </c>
      <c r="G37" s="67">
        <f t="shared" si="0"/>
        <v>22500</v>
      </c>
      <c r="H37" s="98"/>
      <c r="J37" s="69"/>
      <c r="K37" s="76"/>
      <c r="L37" s="76"/>
      <c r="M37" s="81"/>
      <c r="N37" s="121"/>
    </row>
    <row r="38" spans="2:14" ht="12">
      <c r="B38" s="14"/>
      <c r="C38" s="317" t="s">
        <v>51</v>
      </c>
      <c r="D38" s="318"/>
      <c r="E38" s="65">
        <v>120000</v>
      </c>
      <c r="F38" s="65">
        <v>60000</v>
      </c>
      <c r="G38" s="67">
        <f t="shared" si="0"/>
        <v>60000</v>
      </c>
      <c r="H38" s="98"/>
      <c r="I38" s="16"/>
      <c r="J38" s="77"/>
      <c r="K38" s="37"/>
      <c r="L38" s="37"/>
      <c r="M38" s="82"/>
      <c r="N38" s="39"/>
    </row>
    <row r="39" spans="2:14" ht="12">
      <c r="B39" s="14"/>
      <c r="C39" s="317" t="s">
        <v>62</v>
      </c>
      <c r="D39" s="318"/>
      <c r="E39" s="65">
        <v>37500</v>
      </c>
      <c r="F39" s="65">
        <v>7500</v>
      </c>
      <c r="G39" s="67">
        <f t="shared" si="0"/>
        <v>30000</v>
      </c>
      <c r="H39" s="98"/>
      <c r="J39" s="77"/>
      <c r="K39" s="37"/>
      <c r="L39" s="37"/>
      <c r="M39" s="82"/>
      <c r="N39" s="122"/>
    </row>
    <row r="40" spans="2:14" ht="12">
      <c r="B40" s="14"/>
      <c r="C40" s="317" t="s">
        <v>34</v>
      </c>
      <c r="D40" s="318"/>
      <c r="E40" s="65">
        <v>40000</v>
      </c>
      <c r="F40" s="65">
        <v>5000</v>
      </c>
      <c r="G40" s="67">
        <f t="shared" si="0"/>
        <v>35000</v>
      </c>
      <c r="H40" s="98"/>
      <c r="J40" s="77" t="s">
        <v>56</v>
      </c>
      <c r="K40" s="37">
        <v>36300</v>
      </c>
      <c r="L40" s="37">
        <v>34000</v>
      </c>
      <c r="M40" s="82">
        <v>2300</v>
      </c>
      <c r="N40" s="39"/>
    </row>
    <row r="41" spans="2:14" ht="12">
      <c r="B41" s="14"/>
      <c r="C41" s="319" t="s">
        <v>155</v>
      </c>
      <c r="D41" s="320"/>
      <c r="E41" s="65">
        <v>30000</v>
      </c>
      <c r="F41" s="65"/>
      <c r="G41" s="67">
        <f t="shared" si="0"/>
        <v>30000</v>
      </c>
      <c r="H41" s="98"/>
      <c r="I41" s="16"/>
      <c r="J41" s="77"/>
      <c r="K41" s="37"/>
      <c r="L41" s="37"/>
      <c r="M41" s="82"/>
      <c r="N41" s="39"/>
    </row>
    <row r="42" spans="2:14" ht="12">
      <c r="B42" s="14"/>
      <c r="C42" s="317"/>
      <c r="D42" s="318"/>
      <c r="E42" s="65"/>
      <c r="F42" s="65"/>
      <c r="G42" s="67">
        <f t="shared" si="0"/>
        <v>0</v>
      </c>
      <c r="H42" s="98"/>
      <c r="J42" s="69"/>
      <c r="K42" s="37"/>
      <c r="L42" s="37"/>
      <c r="M42" s="82"/>
      <c r="N42" s="17"/>
    </row>
    <row r="43" spans="2:14" ht="12">
      <c r="B43" s="14"/>
      <c r="C43" s="317"/>
      <c r="D43" s="318"/>
      <c r="E43" s="65"/>
      <c r="F43" s="65"/>
      <c r="G43" s="67">
        <f t="shared" si="0"/>
        <v>0</v>
      </c>
      <c r="H43" s="98"/>
      <c r="J43" s="78" t="s">
        <v>46</v>
      </c>
      <c r="K43" s="79">
        <f>K32+K33+K34+K36+K37+K38+K39+K40+K41+K42</f>
        <v>47800</v>
      </c>
      <c r="L43" s="79">
        <f>SUM(L32:L42)</f>
        <v>45000</v>
      </c>
      <c r="M43" s="83">
        <f>SUM(M32:M42)</f>
        <v>2800</v>
      </c>
      <c r="N43" s="115">
        <f>K43-L43-M43</f>
        <v>0</v>
      </c>
    </row>
    <row r="44" spans="2:14" ht="12">
      <c r="B44" s="14"/>
      <c r="C44" s="317"/>
      <c r="D44" s="318"/>
      <c r="E44" s="65"/>
      <c r="F44" s="65"/>
      <c r="G44" s="67">
        <f t="shared" si="0"/>
        <v>0</v>
      </c>
      <c r="H44" s="98"/>
      <c r="I44" s="16"/>
      <c r="J44" s="16"/>
      <c r="K44" s="16"/>
      <c r="L44" s="16"/>
      <c r="M44" s="16"/>
      <c r="N44" s="17"/>
    </row>
    <row r="45" spans="2:14" ht="12">
      <c r="B45" s="14"/>
      <c r="C45" s="317"/>
      <c r="D45" s="318"/>
      <c r="E45" s="65"/>
      <c r="F45" s="65"/>
      <c r="G45" s="67">
        <f t="shared" si="0"/>
        <v>0</v>
      </c>
      <c r="H45" s="98"/>
      <c r="I45" s="53" t="s">
        <v>94</v>
      </c>
      <c r="J45" s="53"/>
      <c r="K45" s="24"/>
      <c r="L45" s="24"/>
      <c r="M45" s="24"/>
      <c r="N45" s="40"/>
    </row>
    <row r="46" spans="2:14" ht="12">
      <c r="B46" s="34" t="s">
        <v>152</v>
      </c>
      <c r="C46" s="23"/>
      <c r="D46" s="36"/>
      <c r="E46" s="23"/>
      <c r="F46" s="23"/>
      <c r="G46" s="71"/>
      <c r="H46" s="97">
        <f>G50+G49+G48</f>
        <v>120000</v>
      </c>
      <c r="I46" s="24" t="s">
        <v>95</v>
      </c>
      <c r="J46" s="24"/>
      <c r="K46" s="24"/>
      <c r="L46" s="24"/>
      <c r="M46" s="24"/>
      <c r="N46" s="117">
        <f>N43+N45</f>
        <v>0</v>
      </c>
    </row>
    <row r="47" spans="2:14" ht="12">
      <c r="B47" s="14"/>
      <c r="C47" s="63" t="s">
        <v>144</v>
      </c>
      <c r="D47" s="1"/>
      <c r="E47" s="63" t="s">
        <v>137</v>
      </c>
      <c r="F47" s="63" t="s">
        <v>146</v>
      </c>
      <c r="G47" s="63" t="s">
        <v>147</v>
      </c>
      <c r="H47" s="98"/>
      <c r="I47" s="16"/>
      <c r="J47" s="16"/>
      <c r="K47" s="16"/>
      <c r="L47" s="16"/>
      <c r="M47" s="16"/>
      <c r="N47" s="123"/>
    </row>
    <row r="48" spans="2:14" ht="12">
      <c r="B48" s="14"/>
      <c r="C48" s="329" t="s">
        <v>63</v>
      </c>
      <c r="D48" s="329"/>
      <c r="E48" s="65">
        <v>150000</v>
      </c>
      <c r="F48" s="65">
        <v>30000</v>
      </c>
      <c r="G48" s="67">
        <f>E48-F48</f>
        <v>120000</v>
      </c>
      <c r="H48" s="98"/>
      <c r="I48" s="16"/>
      <c r="J48" s="16"/>
      <c r="K48" s="16"/>
      <c r="L48" s="16"/>
      <c r="M48" s="16"/>
      <c r="N48" s="123"/>
    </row>
    <row r="49" spans="2:14" ht="12">
      <c r="B49" s="14"/>
      <c r="C49" s="330"/>
      <c r="D49" s="331"/>
      <c r="E49" s="65"/>
      <c r="F49" s="65"/>
      <c r="G49" s="67">
        <f>E49-F49</f>
        <v>0</v>
      </c>
      <c r="H49" s="98"/>
      <c r="I49" s="16"/>
      <c r="J49" s="16"/>
      <c r="K49" s="16"/>
      <c r="L49" s="16"/>
      <c r="M49" s="16"/>
      <c r="N49" s="123"/>
    </row>
    <row r="50" spans="2:14" ht="12">
      <c r="B50" s="14"/>
      <c r="C50" s="330"/>
      <c r="D50" s="331"/>
      <c r="E50" s="65"/>
      <c r="F50" s="65"/>
      <c r="G50" s="67">
        <f>E50-F50</f>
        <v>0</v>
      </c>
      <c r="H50" s="98"/>
      <c r="I50" s="16"/>
      <c r="J50" s="16"/>
      <c r="K50" s="16"/>
      <c r="L50" s="16"/>
      <c r="M50" s="16"/>
      <c r="N50" s="123"/>
    </row>
    <row r="51" spans="2:14" ht="12">
      <c r="B51" s="34" t="s">
        <v>153</v>
      </c>
      <c r="C51" s="23"/>
      <c r="D51" s="23"/>
      <c r="E51" s="23"/>
      <c r="F51" s="23"/>
      <c r="G51" s="71"/>
      <c r="H51" s="100">
        <f>G53+G54+G55+G56+G57</f>
        <v>2412000</v>
      </c>
      <c r="I51" s="16"/>
      <c r="J51" s="16"/>
      <c r="K51" s="16"/>
      <c r="L51" s="16"/>
      <c r="M51" s="16"/>
      <c r="N51" s="123"/>
    </row>
    <row r="52" spans="2:14" ht="12">
      <c r="B52" s="14"/>
      <c r="C52" s="63" t="s">
        <v>144</v>
      </c>
      <c r="D52" s="63" t="s">
        <v>173</v>
      </c>
      <c r="E52" s="63" t="s">
        <v>148</v>
      </c>
      <c r="F52" s="1"/>
      <c r="G52" s="63" t="s">
        <v>149</v>
      </c>
      <c r="H52" s="98"/>
      <c r="I52" s="16"/>
      <c r="J52" s="16"/>
      <c r="K52" s="16"/>
      <c r="L52" s="16"/>
      <c r="M52" s="16"/>
      <c r="N52" s="123"/>
    </row>
    <row r="53" spans="2:14" ht="12">
      <c r="B53" s="14"/>
      <c r="C53" s="64" t="s">
        <v>217</v>
      </c>
      <c r="D53" s="64">
        <v>80</v>
      </c>
      <c r="E53" s="322">
        <v>5575</v>
      </c>
      <c r="F53" s="322"/>
      <c r="G53" s="67">
        <f>D53*E53</f>
        <v>446000</v>
      </c>
      <c r="H53" s="98"/>
      <c r="I53" s="16"/>
      <c r="J53" s="16"/>
      <c r="K53" s="16"/>
      <c r="L53" s="16"/>
      <c r="M53" s="16"/>
      <c r="N53" s="123"/>
    </row>
    <row r="54" spans="2:14" ht="12">
      <c r="B54" s="14"/>
      <c r="C54" s="64" t="s">
        <v>157</v>
      </c>
      <c r="D54" s="64">
        <v>80</v>
      </c>
      <c r="E54" s="322">
        <v>3750</v>
      </c>
      <c r="F54" s="322"/>
      <c r="G54" s="67">
        <f>D54*E54</f>
        <v>300000</v>
      </c>
      <c r="H54" s="98"/>
      <c r="I54" s="16"/>
      <c r="J54" s="16"/>
      <c r="K54" s="16"/>
      <c r="L54" s="16"/>
      <c r="M54" s="16"/>
      <c r="N54" s="123"/>
    </row>
    <row r="55" spans="2:14" ht="12">
      <c r="B55" s="14"/>
      <c r="C55" s="64" t="s">
        <v>156</v>
      </c>
      <c r="D55" s="64">
        <v>80</v>
      </c>
      <c r="E55" s="322">
        <v>4100</v>
      </c>
      <c r="F55" s="322"/>
      <c r="G55" s="67">
        <f>D55*E55</f>
        <v>328000</v>
      </c>
      <c r="H55" s="98"/>
      <c r="I55" s="16"/>
      <c r="J55" s="16"/>
      <c r="K55" s="16"/>
      <c r="L55" s="16"/>
      <c r="M55" s="16"/>
      <c r="N55" s="123"/>
    </row>
    <row r="56" spans="2:14" ht="12">
      <c r="B56" s="14"/>
      <c r="C56" s="64" t="s">
        <v>56</v>
      </c>
      <c r="D56" s="64">
        <v>240</v>
      </c>
      <c r="E56" s="322">
        <v>5575</v>
      </c>
      <c r="F56" s="322"/>
      <c r="G56" s="67">
        <f>D56*E56</f>
        <v>1338000</v>
      </c>
      <c r="H56" s="98"/>
      <c r="I56" s="16"/>
      <c r="J56" s="16"/>
      <c r="K56" s="16"/>
      <c r="L56" s="16"/>
      <c r="M56" s="16"/>
      <c r="N56" s="123"/>
    </row>
    <row r="57" spans="2:14" ht="12">
      <c r="B57" s="14"/>
      <c r="C57" s="64"/>
      <c r="D57" s="64"/>
      <c r="E57" s="322"/>
      <c r="F57" s="322"/>
      <c r="G57" s="67">
        <f>D57*E57</f>
        <v>0</v>
      </c>
      <c r="H57" s="98"/>
      <c r="I57" s="16"/>
      <c r="J57" s="16"/>
      <c r="K57" s="16"/>
      <c r="L57" s="16"/>
      <c r="M57" s="16"/>
      <c r="N57" s="123"/>
    </row>
    <row r="58" spans="2:14" ht="12">
      <c r="B58" s="34" t="s">
        <v>154</v>
      </c>
      <c r="C58" s="23"/>
      <c r="D58" s="23"/>
      <c r="E58" s="23"/>
      <c r="F58" s="23"/>
      <c r="G58" s="71"/>
      <c r="H58" s="101"/>
      <c r="I58" s="16"/>
      <c r="J58" s="16"/>
      <c r="K58" s="16"/>
      <c r="L58" s="16"/>
      <c r="M58" s="16"/>
      <c r="N58" s="123"/>
    </row>
    <row r="59" spans="2:14" ht="12">
      <c r="B59" s="124" t="s">
        <v>96</v>
      </c>
      <c r="C59" s="54"/>
      <c r="D59" s="54"/>
      <c r="E59" s="54"/>
      <c r="F59" s="54"/>
      <c r="G59" s="35"/>
      <c r="H59" s="101"/>
      <c r="I59" s="45"/>
      <c r="J59" s="45"/>
      <c r="K59" s="45"/>
      <c r="L59" s="45"/>
      <c r="M59" s="45"/>
      <c r="N59" s="114"/>
    </row>
    <row r="60" spans="2:14" ht="12.75" thickBot="1">
      <c r="B60" s="125" t="s">
        <v>97</v>
      </c>
      <c r="C60" s="19"/>
      <c r="D60" s="19"/>
      <c r="E60" s="19"/>
      <c r="F60" s="19"/>
      <c r="G60" s="72"/>
      <c r="H60" s="102">
        <f>H26+H33+H46+H51+H58+H59</f>
        <v>2820300</v>
      </c>
      <c r="I60" s="45"/>
      <c r="J60" s="45"/>
      <c r="K60" s="45"/>
      <c r="L60" s="45"/>
      <c r="M60" s="45"/>
      <c r="N60" s="114"/>
    </row>
    <row r="61" spans="2:14" ht="13.5" thickBot="1">
      <c r="B61" s="57" t="s">
        <v>98</v>
      </c>
      <c r="C61" s="58"/>
      <c r="D61" s="58"/>
      <c r="E61" s="84"/>
      <c r="F61" s="84"/>
      <c r="G61" s="85"/>
      <c r="H61" s="146">
        <f>(H24+H60)</f>
        <v>3016550</v>
      </c>
      <c r="I61" s="58" t="s">
        <v>99</v>
      </c>
      <c r="J61" s="58"/>
      <c r="K61" s="86"/>
      <c r="L61" s="86"/>
      <c r="M61" s="86"/>
      <c r="N61" s="147">
        <f>N24+N46</f>
        <v>95880</v>
      </c>
    </row>
    <row r="62" spans="2:14" ht="13.5" thickBot="1">
      <c r="B62" s="141" t="s">
        <v>100</v>
      </c>
      <c r="C62" s="142"/>
      <c r="D62" s="142"/>
      <c r="E62" s="51"/>
      <c r="F62" s="51"/>
      <c r="G62" s="143"/>
      <c r="H62" s="149">
        <f>(H61-N61)</f>
        <v>2920670</v>
      </c>
      <c r="I62" s="144"/>
      <c r="J62" s="144"/>
      <c r="K62" s="144"/>
      <c r="L62" s="144"/>
      <c r="M62" s="144"/>
      <c r="N62" s="145"/>
    </row>
    <row r="63" spans="2:14" ht="12.75">
      <c r="B63" s="22" t="s">
        <v>101</v>
      </c>
      <c r="C63" s="31"/>
      <c r="D63" s="31"/>
      <c r="E63" s="23"/>
      <c r="F63" s="23"/>
      <c r="G63" s="35"/>
      <c r="H63" s="148"/>
      <c r="I63" s="88" t="s">
        <v>102</v>
      </c>
      <c r="J63" s="88"/>
      <c r="K63" s="23"/>
      <c r="L63" s="23"/>
      <c r="M63" s="23"/>
      <c r="N63" s="126">
        <f>H24-N24</f>
        <v>100370</v>
      </c>
    </row>
    <row r="64" spans="2:14" ht="12.75">
      <c r="B64" s="22" t="s">
        <v>103</v>
      </c>
      <c r="C64" s="31"/>
      <c r="D64" s="31"/>
      <c r="E64" s="23"/>
      <c r="F64" s="23"/>
      <c r="G64" s="87"/>
      <c r="H64" s="103">
        <f>(H62-H63)</f>
        <v>2920670</v>
      </c>
      <c r="I64" s="31" t="s">
        <v>104</v>
      </c>
      <c r="J64" s="31"/>
      <c r="K64" s="23"/>
      <c r="L64" s="23"/>
      <c r="M64" s="89"/>
      <c r="N64" s="127">
        <f>(IF(N24,H24/N24,0))</f>
        <v>2.0468293700458906</v>
      </c>
    </row>
    <row r="65" spans="2:14" ht="15.75">
      <c r="B65" s="128" t="s">
        <v>105</v>
      </c>
      <c r="C65" s="90"/>
      <c r="D65" s="90"/>
      <c r="E65" s="91"/>
      <c r="F65" s="91"/>
      <c r="G65" s="92"/>
      <c r="H65" s="104" t="str">
        <f>IF(H63&gt;0,H64/H63," ")</f>
        <v> </v>
      </c>
      <c r="I65" s="31" t="s">
        <v>106</v>
      </c>
      <c r="J65" s="31"/>
      <c r="K65" s="23"/>
      <c r="L65" s="23"/>
      <c r="M65" s="23"/>
      <c r="N65" s="129">
        <f>IF(H61,N61/H61,0)</f>
        <v>0.03178465465515241</v>
      </c>
    </row>
    <row r="66" spans="2:14" ht="12">
      <c r="B66" s="130"/>
      <c r="C66" s="48"/>
      <c r="D66" s="48"/>
      <c r="E66" s="15"/>
      <c r="F66" s="15"/>
      <c r="G66" s="15"/>
      <c r="H66" s="21"/>
      <c r="I66" s="48"/>
      <c r="J66" s="48"/>
      <c r="K66" s="15"/>
      <c r="L66" s="15"/>
      <c r="M66" s="15"/>
      <c r="N66" s="21"/>
    </row>
    <row r="67" spans="2:14" ht="12.75">
      <c r="B67" s="131" t="s">
        <v>107</v>
      </c>
      <c r="C67" s="46"/>
      <c r="D67" s="46"/>
      <c r="E67" s="49"/>
      <c r="F67" s="49"/>
      <c r="G67" s="47"/>
      <c r="H67" s="105"/>
      <c r="I67" s="30" t="s">
        <v>108</v>
      </c>
      <c r="J67" s="30"/>
      <c r="K67" s="30"/>
      <c r="L67" s="30"/>
      <c r="M67" s="30"/>
      <c r="N67" s="132"/>
    </row>
    <row r="68" spans="2:14" ht="12.75">
      <c r="B68" s="133" t="s">
        <v>109</v>
      </c>
      <c r="C68" s="93"/>
      <c r="D68" s="93"/>
      <c r="E68" s="93"/>
      <c r="F68" s="93"/>
      <c r="G68" s="93"/>
      <c r="H68" s="106"/>
      <c r="I68" s="93" t="s">
        <v>110</v>
      </c>
      <c r="J68" s="93"/>
      <c r="K68" s="93"/>
      <c r="L68" s="93"/>
      <c r="M68" s="93"/>
      <c r="N68" s="106"/>
    </row>
    <row r="69" spans="2:14" ht="12.75">
      <c r="B69" s="133" t="s">
        <v>111</v>
      </c>
      <c r="C69" s="93"/>
      <c r="D69" s="93"/>
      <c r="E69" s="93"/>
      <c r="F69" s="93"/>
      <c r="G69" s="93"/>
      <c r="H69" s="106"/>
      <c r="I69" s="93" t="s">
        <v>112</v>
      </c>
      <c r="J69" s="93"/>
      <c r="K69" s="93"/>
      <c r="L69" s="93"/>
      <c r="M69" s="93"/>
      <c r="N69" s="106"/>
    </row>
    <row r="70" spans="2:14" ht="12.75">
      <c r="B70" s="133" t="s">
        <v>113</v>
      </c>
      <c r="C70" s="93"/>
      <c r="D70" s="93"/>
      <c r="E70" s="93"/>
      <c r="F70" s="93"/>
      <c r="G70" s="93"/>
      <c r="H70" s="106"/>
      <c r="I70" s="93" t="s">
        <v>114</v>
      </c>
      <c r="J70" s="93"/>
      <c r="K70" s="93"/>
      <c r="L70" s="93"/>
      <c r="M70" s="93"/>
      <c r="N70" s="106"/>
    </row>
    <row r="71" spans="2:14" ht="12.75">
      <c r="B71" s="133" t="s">
        <v>115</v>
      </c>
      <c r="C71" s="93"/>
      <c r="D71" s="93"/>
      <c r="E71" s="93"/>
      <c r="F71" s="93"/>
      <c r="G71" s="93"/>
      <c r="H71" s="106"/>
      <c r="I71" s="93" t="s">
        <v>116</v>
      </c>
      <c r="J71" s="93"/>
      <c r="K71" s="93"/>
      <c r="L71" s="93"/>
      <c r="M71" s="93"/>
      <c r="N71" s="106"/>
    </row>
    <row r="72" spans="2:14" ht="12.75">
      <c r="B72" s="133" t="s">
        <v>117</v>
      </c>
      <c r="C72" s="93"/>
      <c r="D72" s="93"/>
      <c r="E72" s="93"/>
      <c r="F72" s="93"/>
      <c r="G72" s="93"/>
      <c r="H72" s="106"/>
      <c r="I72" s="93" t="s">
        <v>118</v>
      </c>
      <c r="J72" s="93"/>
      <c r="K72" s="93"/>
      <c r="L72" s="93"/>
      <c r="M72" s="93"/>
      <c r="N72" s="106"/>
    </row>
    <row r="73" spans="2:14" ht="12.75">
      <c r="B73" s="134" t="s">
        <v>119</v>
      </c>
      <c r="C73" s="94"/>
      <c r="D73" s="94"/>
      <c r="E73" s="94"/>
      <c r="F73" s="94"/>
      <c r="G73" s="94"/>
      <c r="H73" s="106"/>
      <c r="I73" s="94" t="s">
        <v>120</v>
      </c>
      <c r="J73" s="94"/>
      <c r="K73" s="94"/>
      <c r="L73" s="94"/>
      <c r="M73" s="94"/>
      <c r="N73" s="106"/>
    </row>
    <row r="74" spans="2:14" ht="12.75">
      <c r="B74" s="133" t="s">
        <v>121</v>
      </c>
      <c r="C74" s="93"/>
      <c r="D74" s="93"/>
      <c r="E74" s="93"/>
      <c r="F74" s="93"/>
      <c r="G74" s="93"/>
      <c r="H74" s="107">
        <f>SUM(H68:H73)</f>
        <v>0</v>
      </c>
      <c r="I74" s="93" t="s">
        <v>122</v>
      </c>
      <c r="J74" s="93"/>
      <c r="K74" s="93"/>
      <c r="L74" s="93"/>
      <c r="M74" s="93"/>
      <c r="N74" s="107">
        <f>SUM(N68:N73)</f>
        <v>0</v>
      </c>
    </row>
    <row r="75" spans="2:14" ht="13.5" thickBot="1">
      <c r="B75" s="135" t="s">
        <v>123</v>
      </c>
      <c r="C75" s="95"/>
      <c r="D75" s="95"/>
      <c r="E75" s="95"/>
      <c r="F75" s="95"/>
      <c r="G75" s="95"/>
      <c r="H75" s="150">
        <f>(H74-N74)</f>
        <v>0</v>
      </c>
      <c r="I75" s="95" t="s">
        <v>124</v>
      </c>
      <c r="J75" s="95"/>
      <c r="K75" s="95"/>
      <c r="L75" s="95"/>
      <c r="M75" s="95"/>
      <c r="N75" s="136">
        <f>IF(H74,N74/H74,0)</f>
        <v>0</v>
      </c>
    </row>
    <row r="76" spans="2:14" ht="15.75" thickBot="1">
      <c r="B76" s="25" t="s">
        <v>125</v>
      </c>
      <c r="C76" s="26"/>
      <c r="D76" s="26"/>
      <c r="E76" s="26"/>
      <c r="F76" s="26"/>
      <c r="G76" s="27"/>
      <c r="H76" s="151">
        <f>(H62+H75)</f>
        <v>2920670</v>
      </c>
      <c r="I76" s="137" t="s">
        <v>126</v>
      </c>
      <c r="J76" s="28"/>
      <c r="K76" s="28"/>
      <c r="L76" s="28"/>
      <c r="M76" s="28"/>
      <c r="N76" s="138">
        <f>IF(H61+H74,(N61+N74)/(H61+H74),0)</f>
        <v>0.03178465465515241</v>
      </c>
    </row>
  </sheetData>
  <sheetProtection/>
  <mergeCells count="25">
    <mergeCell ref="C38:D38"/>
    <mergeCell ref="B1:H1"/>
    <mergeCell ref="C28:D28"/>
    <mergeCell ref="C29:D29"/>
    <mergeCell ref="C30:D30"/>
    <mergeCell ref="C31:D31"/>
    <mergeCell ref="C32:D32"/>
    <mergeCell ref="E57:F57"/>
    <mergeCell ref="C43:D43"/>
    <mergeCell ref="C44:D44"/>
    <mergeCell ref="C45:D45"/>
    <mergeCell ref="E53:F53"/>
    <mergeCell ref="C35:D35"/>
    <mergeCell ref="C36:D36"/>
    <mergeCell ref="C39:D39"/>
    <mergeCell ref="C40:D40"/>
    <mergeCell ref="C37:D37"/>
    <mergeCell ref="E54:F54"/>
    <mergeCell ref="E55:F55"/>
    <mergeCell ref="E56:F56"/>
    <mergeCell ref="C41:D41"/>
    <mergeCell ref="C48:D48"/>
    <mergeCell ref="C49:D49"/>
    <mergeCell ref="C50:D50"/>
    <mergeCell ref="C42:D42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N76"/>
  <sheetViews>
    <sheetView tabSelected="1" zoomScale="75" zoomScaleNormal="75" zoomScalePageLayoutView="0" workbookViewId="0" topLeftCell="A34">
      <selection activeCell="E58" sqref="E58"/>
    </sheetView>
  </sheetViews>
  <sheetFormatPr defaultColWidth="9.140625" defaultRowHeight="12.75"/>
  <cols>
    <col min="1" max="1" width="2.421875" style="9" customWidth="1"/>
    <col min="2" max="2" width="12.421875" style="9" customWidth="1"/>
    <col min="3" max="3" width="12.00390625" style="9" customWidth="1"/>
    <col min="4" max="4" width="10.140625" style="9" customWidth="1"/>
    <col min="5" max="5" width="13.28125" style="9" customWidth="1"/>
    <col min="6" max="6" width="12.28125" style="9" bestFit="1" customWidth="1"/>
    <col min="7" max="7" width="12.8515625" style="9" bestFit="1" customWidth="1"/>
    <col min="8" max="8" width="15.7109375" style="9" bestFit="1" customWidth="1"/>
    <col min="9" max="9" width="10.28125" style="9" customWidth="1"/>
    <col min="10" max="10" width="21.421875" style="9" customWidth="1"/>
    <col min="11" max="11" width="17.28125" style="9" bestFit="1" customWidth="1"/>
    <col min="12" max="12" width="16.7109375" style="9" bestFit="1" customWidth="1"/>
    <col min="13" max="13" width="15.00390625" style="9" bestFit="1" customWidth="1"/>
    <col min="14" max="14" width="15.7109375" style="9" bestFit="1" customWidth="1"/>
    <col min="15" max="16384" width="9.140625" style="9" customWidth="1"/>
  </cols>
  <sheetData>
    <row r="1" spans="2:8" ht="12">
      <c r="B1" s="328" t="s">
        <v>64</v>
      </c>
      <c r="C1" s="328"/>
      <c r="D1" s="328"/>
      <c r="E1" s="328"/>
      <c r="F1" s="328"/>
      <c r="G1" s="328"/>
      <c r="H1" s="328"/>
    </row>
    <row r="2" spans="9:10" ht="12">
      <c r="I2" s="9" t="s">
        <v>32</v>
      </c>
      <c r="J2" s="41">
        <v>39448</v>
      </c>
    </row>
    <row r="3" ht="12.75" thickBot="1"/>
    <row r="4" spans="2:14" ht="15">
      <c r="B4" s="108" t="s">
        <v>218</v>
      </c>
      <c r="C4" s="109"/>
      <c r="D4" s="109"/>
      <c r="E4" s="110" t="s">
        <v>219</v>
      </c>
      <c r="F4" s="110"/>
      <c r="G4" s="111"/>
      <c r="H4" s="112" t="s">
        <v>220</v>
      </c>
      <c r="I4" s="109" t="s">
        <v>49</v>
      </c>
      <c r="J4" s="113"/>
      <c r="K4" s="110"/>
      <c r="L4" s="110"/>
      <c r="M4" s="110"/>
      <c r="N4" s="112" t="s">
        <v>220</v>
      </c>
    </row>
    <row r="5" spans="2:14" ht="12">
      <c r="B5" s="11" t="s">
        <v>85</v>
      </c>
      <c r="C5" s="29"/>
      <c r="D5" s="29"/>
      <c r="E5" s="12"/>
      <c r="F5" s="12"/>
      <c r="G5" s="32"/>
      <c r="H5" s="13"/>
      <c r="I5" s="29" t="s">
        <v>86</v>
      </c>
      <c r="J5" s="29"/>
      <c r="K5" s="12"/>
      <c r="L5" s="12"/>
      <c r="M5" s="12"/>
      <c r="N5" s="13"/>
    </row>
    <row r="6" spans="2:14" ht="12">
      <c r="B6" s="34" t="s">
        <v>87</v>
      </c>
      <c r="C6" s="23"/>
      <c r="D6" s="23"/>
      <c r="E6" s="23"/>
      <c r="F6" s="23"/>
      <c r="G6" s="35"/>
      <c r="H6" s="96">
        <v>5000</v>
      </c>
      <c r="I6" s="24" t="s">
        <v>28</v>
      </c>
      <c r="J6" s="24"/>
      <c r="K6" s="24"/>
      <c r="L6" s="24"/>
      <c r="M6" s="24"/>
      <c r="N6" s="40">
        <v>0</v>
      </c>
    </row>
    <row r="7" spans="2:14" ht="12">
      <c r="B7" s="34" t="s">
        <v>130</v>
      </c>
      <c r="C7" s="23"/>
      <c r="D7" s="23"/>
      <c r="E7" s="23"/>
      <c r="F7" s="23"/>
      <c r="G7" s="50"/>
      <c r="H7" s="97">
        <f>F9+F10+F11+F12+F13</f>
        <v>114484.8</v>
      </c>
      <c r="I7" s="24" t="s">
        <v>29</v>
      </c>
      <c r="J7" s="24"/>
      <c r="K7" s="24"/>
      <c r="L7" s="24"/>
      <c r="M7" s="24"/>
      <c r="N7" s="40">
        <v>4720</v>
      </c>
    </row>
    <row r="8" spans="2:14" ht="12">
      <c r="B8" s="14"/>
      <c r="C8" s="1" t="s">
        <v>128</v>
      </c>
      <c r="D8" s="63" t="s">
        <v>127</v>
      </c>
      <c r="E8" s="63" t="s">
        <v>129</v>
      </c>
      <c r="F8" s="63" t="s">
        <v>137</v>
      </c>
      <c r="G8" s="33"/>
      <c r="H8" s="98"/>
      <c r="I8" s="24" t="s">
        <v>36</v>
      </c>
      <c r="J8" s="24"/>
      <c r="K8" s="24"/>
      <c r="L8" s="24"/>
      <c r="M8" s="24"/>
      <c r="N8" s="20"/>
    </row>
    <row r="9" spans="2:14" ht="12">
      <c r="B9" s="14"/>
      <c r="C9" s="64" t="s">
        <v>138</v>
      </c>
      <c r="D9" s="64">
        <v>13760</v>
      </c>
      <c r="E9" s="65">
        <v>4.73</v>
      </c>
      <c r="F9" s="67">
        <f>D9*E9</f>
        <v>65084.8</v>
      </c>
      <c r="G9" s="33"/>
      <c r="H9" s="98"/>
      <c r="I9" s="16"/>
      <c r="J9" s="70" t="s">
        <v>144</v>
      </c>
      <c r="K9" s="70" t="s">
        <v>31</v>
      </c>
      <c r="L9" s="70" t="s">
        <v>35</v>
      </c>
      <c r="N9" s="17"/>
    </row>
    <row r="10" spans="2:14" ht="12">
      <c r="B10" s="14"/>
      <c r="C10" s="64" t="s">
        <v>139</v>
      </c>
      <c r="D10" s="64">
        <v>4000</v>
      </c>
      <c r="E10" s="65">
        <v>12.35</v>
      </c>
      <c r="F10" s="67">
        <f>D10*E10</f>
        <v>49400</v>
      </c>
      <c r="G10" s="33"/>
      <c r="H10" s="98"/>
      <c r="I10" s="16"/>
      <c r="J10" s="77"/>
      <c r="K10" s="37"/>
      <c r="L10" s="37"/>
      <c r="N10" s="17"/>
    </row>
    <row r="11" spans="2:14" ht="12">
      <c r="B11" s="14"/>
      <c r="C11" s="64"/>
      <c r="D11" s="64"/>
      <c r="E11" s="65"/>
      <c r="F11" s="67">
        <f>D11*E11</f>
        <v>0</v>
      </c>
      <c r="G11" s="33"/>
      <c r="H11" s="98"/>
      <c r="I11" s="16"/>
      <c r="J11" s="77"/>
      <c r="K11" s="37"/>
      <c r="L11" s="37"/>
      <c r="N11" s="17"/>
    </row>
    <row r="12" spans="2:14" ht="12">
      <c r="B12" s="14"/>
      <c r="C12" s="64"/>
      <c r="D12" s="64"/>
      <c r="E12" s="65"/>
      <c r="F12" s="67">
        <f>D12*E12</f>
        <v>0</v>
      </c>
      <c r="G12" s="33"/>
      <c r="H12" s="98"/>
      <c r="I12" s="16"/>
      <c r="J12" s="77"/>
      <c r="K12" s="37"/>
      <c r="L12" s="37"/>
      <c r="N12" s="17"/>
    </row>
    <row r="13" spans="2:14" ht="12">
      <c r="B13" s="14"/>
      <c r="C13" s="64"/>
      <c r="D13" s="64"/>
      <c r="E13" s="65"/>
      <c r="F13" s="67">
        <f>D13*E13</f>
        <v>0</v>
      </c>
      <c r="G13" s="33"/>
      <c r="H13" s="98"/>
      <c r="J13" s="69"/>
      <c r="K13" s="69"/>
      <c r="L13" s="69"/>
      <c r="N13" s="114"/>
    </row>
    <row r="14" spans="2:14" ht="12">
      <c r="B14" s="34" t="s">
        <v>131</v>
      </c>
      <c r="C14" s="23"/>
      <c r="D14" s="23"/>
      <c r="E14" s="23"/>
      <c r="F14" s="23"/>
      <c r="G14" s="50"/>
      <c r="H14" s="96"/>
      <c r="J14" s="73"/>
      <c r="K14" s="73"/>
      <c r="L14" s="73"/>
      <c r="N14" s="114"/>
    </row>
    <row r="15" spans="2:14" ht="12">
      <c r="B15" s="34" t="s">
        <v>132</v>
      </c>
      <c r="C15" s="23"/>
      <c r="D15" s="23"/>
      <c r="E15" s="23"/>
      <c r="F15" s="23"/>
      <c r="G15" s="50"/>
      <c r="H15" s="96"/>
      <c r="I15" s="24" t="s">
        <v>31</v>
      </c>
      <c r="J15" s="24"/>
      <c r="K15" s="24"/>
      <c r="L15" s="24"/>
      <c r="M15" s="24"/>
      <c r="N15" s="115">
        <f>K10+K11+K12+K13+K14</f>
        <v>0</v>
      </c>
    </row>
    <row r="16" spans="2:14" ht="12">
      <c r="B16" s="116" t="s">
        <v>141</v>
      </c>
      <c r="C16" s="51"/>
      <c r="D16" s="51"/>
      <c r="E16" s="51"/>
      <c r="F16" s="51"/>
      <c r="G16" s="52"/>
      <c r="H16" s="38">
        <f>G18+G19+G20</f>
        <v>0</v>
      </c>
      <c r="I16" s="24" t="s">
        <v>30</v>
      </c>
      <c r="J16" s="24"/>
      <c r="K16" s="24"/>
      <c r="L16" s="24"/>
      <c r="M16" s="24"/>
      <c r="N16" s="117">
        <f>L10+L11+L12+L13+L14</f>
        <v>0</v>
      </c>
    </row>
    <row r="17" spans="2:14" ht="12">
      <c r="B17" s="14"/>
      <c r="C17" s="63" t="s">
        <v>133</v>
      </c>
      <c r="D17" s="63" t="s">
        <v>127</v>
      </c>
      <c r="E17" s="63" t="s">
        <v>136</v>
      </c>
      <c r="F17" s="66" t="s">
        <v>135</v>
      </c>
      <c r="G17" s="74" t="s">
        <v>137</v>
      </c>
      <c r="H17" s="98"/>
      <c r="I17" s="24" t="s">
        <v>38</v>
      </c>
      <c r="J17" s="36"/>
      <c r="K17" s="24"/>
      <c r="L17" s="24"/>
      <c r="M17" s="24"/>
      <c r="N17" s="117">
        <f>L43</f>
        <v>0</v>
      </c>
    </row>
    <row r="18" spans="2:14" ht="12">
      <c r="B18" s="14"/>
      <c r="C18" s="64"/>
      <c r="D18" s="64"/>
      <c r="E18" s="64"/>
      <c r="F18" s="65"/>
      <c r="G18" s="75">
        <f>D18*E18*F18</f>
        <v>0</v>
      </c>
      <c r="H18" s="98"/>
      <c r="I18" s="24" t="s">
        <v>37</v>
      </c>
      <c r="J18" s="24"/>
      <c r="K18" s="24"/>
      <c r="L18" s="24"/>
      <c r="M18" s="24"/>
      <c r="N18" s="117">
        <f>M43</f>
        <v>0</v>
      </c>
    </row>
    <row r="19" spans="2:14" ht="12">
      <c r="B19" s="14"/>
      <c r="C19" s="64"/>
      <c r="D19" s="64"/>
      <c r="E19" s="64"/>
      <c r="F19" s="65"/>
      <c r="G19" s="75">
        <f>D19*E19*F19</f>
        <v>0</v>
      </c>
      <c r="H19" s="98"/>
      <c r="N19" s="114"/>
    </row>
    <row r="20" spans="2:14" ht="12">
      <c r="B20" s="14"/>
      <c r="C20" s="64"/>
      <c r="D20" s="64"/>
      <c r="E20" s="64"/>
      <c r="F20" s="65"/>
      <c r="G20" s="75">
        <f>D20*E20*F20</f>
        <v>0</v>
      </c>
      <c r="H20" s="98"/>
      <c r="I20" s="53" t="s">
        <v>47</v>
      </c>
      <c r="J20" s="24"/>
      <c r="K20" s="24"/>
      <c r="L20" s="24"/>
      <c r="M20" s="24"/>
      <c r="N20" s="40"/>
    </row>
    <row r="21" spans="2:14" ht="12">
      <c r="B21" s="34" t="s">
        <v>142</v>
      </c>
      <c r="C21" s="23"/>
      <c r="D21" s="23"/>
      <c r="E21" s="23"/>
      <c r="F21" s="23"/>
      <c r="G21" s="50"/>
      <c r="H21" s="96"/>
      <c r="I21" s="53" t="s">
        <v>89</v>
      </c>
      <c r="J21" s="53"/>
      <c r="K21" s="53"/>
      <c r="L21" s="53"/>
      <c r="M21" s="53"/>
      <c r="N21" s="18"/>
    </row>
    <row r="22" spans="2:14" ht="12">
      <c r="B22" s="34" t="s">
        <v>143</v>
      </c>
      <c r="C22" s="23"/>
      <c r="D22" s="23"/>
      <c r="E22" s="23"/>
      <c r="F22" s="23"/>
      <c r="G22" s="50"/>
      <c r="H22" s="96"/>
      <c r="I22" s="16"/>
      <c r="J22" s="16"/>
      <c r="K22" s="16"/>
      <c r="L22" s="16"/>
      <c r="M22" s="16"/>
      <c r="N22" s="17"/>
    </row>
    <row r="23" spans="2:14" ht="12.75" thickBot="1">
      <c r="B23" s="118" t="s">
        <v>88</v>
      </c>
      <c r="C23" s="55"/>
      <c r="D23" s="55"/>
      <c r="E23" s="55"/>
      <c r="F23" s="55"/>
      <c r="G23" s="56"/>
      <c r="H23" s="99"/>
      <c r="N23" s="114"/>
    </row>
    <row r="24" spans="2:14" ht="13.5" thickBot="1">
      <c r="B24" s="57" t="s">
        <v>90</v>
      </c>
      <c r="C24" s="58"/>
      <c r="D24" s="58"/>
      <c r="E24" s="59"/>
      <c r="F24" s="59"/>
      <c r="G24" s="60"/>
      <c r="H24" s="139">
        <f>SUM(H6:H23)</f>
        <v>119484.8</v>
      </c>
      <c r="I24" s="61" t="s">
        <v>91</v>
      </c>
      <c r="J24" s="61"/>
      <c r="K24" s="62"/>
      <c r="L24" s="62"/>
      <c r="M24" s="62"/>
      <c r="N24" s="140">
        <f>SUM(N6:N22)</f>
        <v>4720</v>
      </c>
    </row>
    <row r="25" spans="2:14" ht="12">
      <c r="B25" s="119" t="s">
        <v>92</v>
      </c>
      <c r="C25" s="43"/>
      <c r="D25" s="43"/>
      <c r="E25" s="15"/>
      <c r="F25" s="15"/>
      <c r="G25" s="42"/>
      <c r="H25" s="98"/>
      <c r="I25" s="44" t="s">
        <v>93</v>
      </c>
      <c r="J25" s="44"/>
      <c r="K25" s="16"/>
      <c r="L25" s="16"/>
      <c r="M25" s="16"/>
      <c r="N25" s="17"/>
    </row>
    <row r="26" spans="2:14" ht="12">
      <c r="B26" s="34" t="s">
        <v>150</v>
      </c>
      <c r="C26" s="23"/>
      <c r="D26" s="23"/>
      <c r="E26" s="23"/>
      <c r="F26" s="23"/>
      <c r="G26" s="71"/>
      <c r="H26" s="97">
        <f>G28+G29+G30+G31+G32</f>
        <v>0</v>
      </c>
      <c r="I26" s="24" t="s">
        <v>39</v>
      </c>
      <c r="J26" s="24"/>
      <c r="K26" s="24"/>
      <c r="L26" s="24"/>
      <c r="M26" s="24"/>
      <c r="N26" s="17"/>
    </row>
    <row r="27" spans="2:14" ht="12">
      <c r="B27" s="14"/>
      <c r="C27" s="63" t="s">
        <v>144</v>
      </c>
      <c r="D27" s="1"/>
      <c r="E27" s="63" t="s">
        <v>134</v>
      </c>
      <c r="F27" s="63" t="s">
        <v>145</v>
      </c>
      <c r="G27" s="63" t="s">
        <v>137</v>
      </c>
      <c r="H27" s="98"/>
      <c r="I27" s="16"/>
      <c r="J27" s="68" t="s">
        <v>144</v>
      </c>
      <c r="K27" s="68" t="s">
        <v>40</v>
      </c>
      <c r="L27" s="68" t="s">
        <v>57</v>
      </c>
      <c r="M27" s="80" t="s">
        <v>41</v>
      </c>
      <c r="N27" s="17"/>
    </row>
    <row r="28" spans="2:14" ht="12">
      <c r="B28" s="14"/>
      <c r="C28" s="319"/>
      <c r="D28" s="320"/>
      <c r="E28" s="64"/>
      <c r="F28" s="65"/>
      <c r="G28" s="67">
        <f>E28*F28</f>
        <v>0</v>
      </c>
      <c r="H28" s="98"/>
      <c r="J28" s="69"/>
      <c r="K28" s="76"/>
      <c r="L28" s="76"/>
      <c r="M28" s="81"/>
      <c r="N28" s="114"/>
    </row>
    <row r="29" spans="2:14" ht="12">
      <c r="B29" s="14"/>
      <c r="C29" s="319"/>
      <c r="D29" s="320"/>
      <c r="E29" s="64"/>
      <c r="F29" s="65"/>
      <c r="G29" s="67">
        <f>E29*F29</f>
        <v>0</v>
      </c>
      <c r="H29" s="98"/>
      <c r="J29" s="69"/>
      <c r="K29" s="76"/>
      <c r="L29" s="76"/>
      <c r="M29" s="81"/>
      <c r="N29" s="114"/>
    </row>
    <row r="30" spans="2:14" ht="12">
      <c r="B30" s="14"/>
      <c r="C30" s="319"/>
      <c r="D30" s="320"/>
      <c r="E30" s="64"/>
      <c r="F30" s="65"/>
      <c r="G30" s="67">
        <f>E30*F30</f>
        <v>0</v>
      </c>
      <c r="H30" s="98"/>
      <c r="J30" s="69"/>
      <c r="K30" s="76"/>
      <c r="L30" s="76"/>
      <c r="M30" s="81"/>
      <c r="N30" s="114"/>
    </row>
    <row r="31" spans="2:14" ht="12">
      <c r="B31" s="14"/>
      <c r="C31" s="319"/>
      <c r="D31" s="320"/>
      <c r="E31" s="64"/>
      <c r="F31" s="65"/>
      <c r="G31" s="67">
        <f>E31*F31</f>
        <v>0</v>
      </c>
      <c r="H31" s="98"/>
      <c r="J31" s="69"/>
      <c r="K31" s="76"/>
      <c r="L31" s="76"/>
      <c r="M31" s="81"/>
      <c r="N31" s="114"/>
    </row>
    <row r="32" spans="2:14" ht="12">
      <c r="B32" s="120"/>
      <c r="C32" s="319"/>
      <c r="D32" s="320"/>
      <c r="E32" s="64"/>
      <c r="F32" s="65"/>
      <c r="G32" s="67">
        <f>E32*F32</f>
        <v>0</v>
      </c>
      <c r="H32" s="98"/>
      <c r="I32" s="16"/>
      <c r="J32" s="77"/>
      <c r="K32" s="37"/>
      <c r="L32" s="37"/>
      <c r="M32" s="82"/>
      <c r="N32" s="17"/>
    </row>
    <row r="33" spans="2:14" ht="12">
      <c r="B33" s="34" t="s">
        <v>151</v>
      </c>
      <c r="C33" s="23"/>
      <c r="D33" s="36"/>
      <c r="E33" s="23"/>
      <c r="F33" s="23"/>
      <c r="G33" s="71"/>
      <c r="H33" s="100">
        <f>G35+G36+G37+G38+G39+G40+G42+G43+G44+G45+G41</f>
        <v>0</v>
      </c>
      <c r="I33" s="16"/>
      <c r="J33" s="77"/>
      <c r="K33" s="37"/>
      <c r="L33" s="37"/>
      <c r="M33" s="82"/>
      <c r="N33" s="17"/>
    </row>
    <row r="34" spans="2:14" ht="12">
      <c r="B34" s="14"/>
      <c r="C34" s="63" t="s">
        <v>144</v>
      </c>
      <c r="D34" s="1"/>
      <c r="E34" s="63" t="s">
        <v>137</v>
      </c>
      <c r="F34" s="63" t="s">
        <v>146</v>
      </c>
      <c r="G34" s="63" t="s">
        <v>147</v>
      </c>
      <c r="H34" s="98"/>
      <c r="I34" s="16"/>
      <c r="J34" s="77"/>
      <c r="K34" s="37"/>
      <c r="L34" s="37"/>
      <c r="M34" s="82"/>
      <c r="N34" s="17"/>
    </row>
    <row r="35" spans="2:14" ht="12">
      <c r="B35" s="14"/>
      <c r="C35" s="332"/>
      <c r="D35" s="333"/>
      <c r="E35" s="65"/>
      <c r="F35" s="65"/>
      <c r="G35" s="67">
        <f>E35-F35</f>
        <v>0</v>
      </c>
      <c r="H35" s="98"/>
      <c r="J35" s="77"/>
      <c r="K35" s="37"/>
      <c r="L35" s="37"/>
      <c r="M35" s="82"/>
      <c r="N35" s="17"/>
    </row>
    <row r="36" spans="2:14" ht="12">
      <c r="B36" s="14"/>
      <c r="C36" s="317"/>
      <c r="D36" s="318"/>
      <c r="E36" s="65"/>
      <c r="F36" s="65"/>
      <c r="G36" s="67">
        <f aca="true" t="shared" si="0" ref="G36:G45">E36-F36</f>
        <v>0</v>
      </c>
      <c r="H36" s="98"/>
      <c r="J36" s="77"/>
      <c r="K36" s="37"/>
      <c r="L36" s="37"/>
      <c r="M36" s="82"/>
      <c r="N36" s="114"/>
    </row>
    <row r="37" spans="2:14" ht="12">
      <c r="B37" s="14"/>
      <c r="C37" s="317"/>
      <c r="D37" s="318"/>
      <c r="E37" s="65"/>
      <c r="F37" s="65"/>
      <c r="G37" s="67">
        <f t="shared" si="0"/>
        <v>0</v>
      </c>
      <c r="H37" s="98"/>
      <c r="J37" s="69"/>
      <c r="K37" s="76"/>
      <c r="L37" s="76"/>
      <c r="M37" s="81"/>
      <c r="N37" s="121"/>
    </row>
    <row r="38" spans="2:14" ht="12">
      <c r="B38" s="14"/>
      <c r="C38" s="317"/>
      <c r="D38" s="318"/>
      <c r="E38" s="65"/>
      <c r="F38" s="65"/>
      <c r="G38" s="67">
        <f t="shared" si="0"/>
        <v>0</v>
      </c>
      <c r="H38" s="98"/>
      <c r="I38" s="16"/>
      <c r="J38" s="77"/>
      <c r="K38" s="37"/>
      <c r="L38" s="37"/>
      <c r="M38" s="82"/>
      <c r="N38" s="39"/>
    </row>
    <row r="39" spans="2:14" ht="12">
      <c r="B39" s="14"/>
      <c r="C39" s="317"/>
      <c r="D39" s="318"/>
      <c r="E39" s="65"/>
      <c r="F39" s="65"/>
      <c r="G39" s="67">
        <f t="shared" si="0"/>
        <v>0</v>
      </c>
      <c r="H39" s="98"/>
      <c r="J39" s="77"/>
      <c r="K39" s="37"/>
      <c r="L39" s="37"/>
      <c r="M39" s="82"/>
      <c r="N39" s="122"/>
    </row>
    <row r="40" spans="2:14" ht="12">
      <c r="B40" s="14"/>
      <c r="C40" s="317"/>
      <c r="D40" s="318"/>
      <c r="E40" s="65"/>
      <c r="F40" s="65"/>
      <c r="G40" s="67">
        <f t="shared" si="0"/>
        <v>0</v>
      </c>
      <c r="H40" s="98"/>
      <c r="J40" s="77"/>
      <c r="K40" s="37"/>
      <c r="L40" s="37"/>
      <c r="M40" s="82"/>
      <c r="N40" s="39"/>
    </row>
    <row r="41" spans="2:14" ht="12">
      <c r="B41" s="14"/>
      <c r="C41" s="319"/>
      <c r="D41" s="320"/>
      <c r="E41" s="65"/>
      <c r="F41" s="65"/>
      <c r="G41" s="67">
        <f t="shared" si="0"/>
        <v>0</v>
      </c>
      <c r="H41" s="98"/>
      <c r="I41" s="16"/>
      <c r="J41" s="77"/>
      <c r="K41" s="37"/>
      <c r="L41" s="37"/>
      <c r="M41" s="82"/>
      <c r="N41" s="39"/>
    </row>
    <row r="42" spans="2:14" ht="12">
      <c r="B42" s="14"/>
      <c r="C42" s="317"/>
      <c r="D42" s="318"/>
      <c r="E42" s="65"/>
      <c r="F42" s="65"/>
      <c r="G42" s="67">
        <f t="shared" si="0"/>
        <v>0</v>
      </c>
      <c r="H42" s="98"/>
      <c r="J42" s="69"/>
      <c r="K42" s="37"/>
      <c r="L42" s="37"/>
      <c r="M42" s="82"/>
      <c r="N42" s="17"/>
    </row>
    <row r="43" spans="2:14" ht="12">
      <c r="B43" s="14"/>
      <c r="C43" s="317"/>
      <c r="D43" s="318"/>
      <c r="E43" s="65"/>
      <c r="F43" s="65"/>
      <c r="G43" s="67">
        <f t="shared" si="0"/>
        <v>0</v>
      </c>
      <c r="H43" s="98"/>
      <c r="J43" s="78" t="s">
        <v>46</v>
      </c>
      <c r="K43" s="79">
        <f>K32+K33+K34+K36+K37+K38+K39+K40+K41+K42</f>
        <v>0</v>
      </c>
      <c r="L43" s="79">
        <f>SUM(L32:L42)</f>
        <v>0</v>
      </c>
      <c r="M43" s="83">
        <f>SUM(M32:M42)</f>
        <v>0</v>
      </c>
      <c r="N43" s="115">
        <f>K43-L43-M43</f>
        <v>0</v>
      </c>
    </row>
    <row r="44" spans="2:14" ht="12">
      <c r="B44" s="14"/>
      <c r="C44" s="317"/>
      <c r="D44" s="318"/>
      <c r="E44" s="65"/>
      <c r="F44" s="65"/>
      <c r="G44" s="67">
        <f t="shared" si="0"/>
        <v>0</v>
      </c>
      <c r="H44" s="98"/>
      <c r="I44" s="16"/>
      <c r="J44" s="16"/>
      <c r="K44" s="16"/>
      <c r="L44" s="16"/>
      <c r="M44" s="16"/>
      <c r="N44" s="17"/>
    </row>
    <row r="45" spans="2:14" ht="12">
      <c r="B45" s="14"/>
      <c r="C45" s="317"/>
      <c r="D45" s="318"/>
      <c r="E45" s="65"/>
      <c r="F45" s="65"/>
      <c r="G45" s="67">
        <f t="shared" si="0"/>
        <v>0</v>
      </c>
      <c r="H45" s="98"/>
      <c r="I45" s="53" t="s">
        <v>94</v>
      </c>
      <c r="J45" s="53"/>
      <c r="K45" s="24"/>
      <c r="L45" s="24"/>
      <c r="M45" s="24"/>
      <c r="N45" s="40"/>
    </row>
    <row r="46" spans="2:14" ht="12">
      <c r="B46" s="34" t="s">
        <v>152</v>
      </c>
      <c r="C46" s="23"/>
      <c r="D46" s="36"/>
      <c r="E46" s="23"/>
      <c r="F46" s="23"/>
      <c r="G46" s="71"/>
      <c r="H46" s="97">
        <f>G50+G49+G48</f>
        <v>90000</v>
      </c>
      <c r="I46" s="24" t="s">
        <v>95</v>
      </c>
      <c r="J46" s="24"/>
      <c r="K46" s="24"/>
      <c r="L46" s="24"/>
      <c r="M46" s="24"/>
      <c r="N46" s="117">
        <f>N43+N45</f>
        <v>0</v>
      </c>
    </row>
    <row r="47" spans="2:14" ht="12">
      <c r="B47" s="14"/>
      <c r="C47" s="63" t="s">
        <v>144</v>
      </c>
      <c r="D47" s="1"/>
      <c r="E47" s="63" t="s">
        <v>137</v>
      </c>
      <c r="F47" s="63" t="s">
        <v>146</v>
      </c>
      <c r="G47" s="63" t="s">
        <v>147</v>
      </c>
      <c r="H47" s="98"/>
      <c r="I47" s="16"/>
      <c r="J47" s="16"/>
      <c r="K47" s="16"/>
      <c r="L47" s="16"/>
      <c r="M47" s="16"/>
      <c r="N47" s="123"/>
    </row>
    <row r="48" spans="2:14" ht="12">
      <c r="B48" s="14"/>
      <c r="C48" s="329" t="s">
        <v>63</v>
      </c>
      <c r="D48" s="329"/>
      <c r="E48" s="65">
        <v>150000</v>
      </c>
      <c r="F48" s="65">
        <v>60000</v>
      </c>
      <c r="G48" s="67">
        <f>E48-F48</f>
        <v>90000</v>
      </c>
      <c r="H48" s="98"/>
      <c r="I48" s="16"/>
      <c r="J48" s="16"/>
      <c r="K48" s="16"/>
      <c r="L48" s="16"/>
      <c r="M48" s="16"/>
      <c r="N48" s="123"/>
    </row>
    <row r="49" spans="2:14" ht="12">
      <c r="B49" s="14"/>
      <c r="C49" s="330"/>
      <c r="D49" s="331"/>
      <c r="E49" s="65"/>
      <c r="F49" s="65"/>
      <c r="G49" s="67">
        <f>E49-F49</f>
        <v>0</v>
      </c>
      <c r="H49" s="98"/>
      <c r="I49" s="16"/>
      <c r="J49" s="16"/>
      <c r="K49" s="16"/>
      <c r="L49" s="16"/>
      <c r="M49" s="16"/>
      <c r="N49" s="123"/>
    </row>
    <row r="50" spans="2:14" ht="12">
      <c r="B50" s="14"/>
      <c r="C50" s="330"/>
      <c r="D50" s="331"/>
      <c r="E50" s="65"/>
      <c r="F50" s="65"/>
      <c r="G50" s="67">
        <f>E50-F50</f>
        <v>0</v>
      </c>
      <c r="H50" s="98"/>
      <c r="I50" s="16"/>
      <c r="J50" s="16"/>
      <c r="K50" s="16"/>
      <c r="L50" s="16"/>
      <c r="M50" s="16"/>
      <c r="N50" s="123"/>
    </row>
    <row r="51" spans="2:14" ht="12">
      <c r="B51" s="34" t="s">
        <v>153</v>
      </c>
      <c r="C51" s="23"/>
      <c r="D51" s="23"/>
      <c r="E51" s="23"/>
      <c r="F51" s="23"/>
      <c r="G51" s="71"/>
      <c r="H51" s="100">
        <f>G53+G54+G55+G56+G57</f>
        <v>1540500</v>
      </c>
      <c r="I51" s="16"/>
      <c r="J51" s="16"/>
      <c r="K51" s="16"/>
      <c r="L51" s="16"/>
      <c r="M51" s="16"/>
      <c r="N51" s="123"/>
    </row>
    <row r="52" spans="2:14" ht="12">
      <c r="B52" s="14"/>
      <c r="C52" s="63" t="s">
        <v>144</v>
      </c>
      <c r="D52" s="63" t="s">
        <v>173</v>
      </c>
      <c r="E52" s="63" t="s">
        <v>148</v>
      </c>
      <c r="F52" s="1"/>
      <c r="G52" s="63" t="s">
        <v>149</v>
      </c>
      <c r="H52" s="98"/>
      <c r="I52" s="16"/>
      <c r="J52" s="16"/>
      <c r="K52" s="16"/>
      <c r="L52" s="16"/>
      <c r="M52" s="16"/>
      <c r="N52" s="123"/>
    </row>
    <row r="53" spans="2:14" ht="12">
      <c r="B53" s="14"/>
      <c r="C53" s="64" t="s">
        <v>217</v>
      </c>
      <c r="D53" s="64">
        <v>40</v>
      </c>
      <c r="E53" s="322">
        <v>5575</v>
      </c>
      <c r="F53" s="322"/>
      <c r="G53" s="67">
        <f>D53*E53</f>
        <v>223000</v>
      </c>
      <c r="H53" s="98"/>
      <c r="I53" s="16"/>
      <c r="J53" s="16"/>
      <c r="K53" s="16"/>
      <c r="L53" s="16"/>
      <c r="M53" s="16"/>
      <c r="N53" s="123"/>
    </row>
    <row r="54" spans="2:14" ht="12">
      <c r="B54" s="14"/>
      <c r="C54" s="64" t="s">
        <v>157</v>
      </c>
      <c r="D54" s="64">
        <v>40</v>
      </c>
      <c r="E54" s="322">
        <v>3750</v>
      </c>
      <c r="F54" s="322"/>
      <c r="G54" s="67">
        <f>D54*E54</f>
        <v>150000</v>
      </c>
      <c r="H54" s="98"/>
      <c r="I54" s="16"/>
      <c r="J54" s="16"/>
      <c r="K54" s="16"/>
      <c r="L54" s="16"/>
      <c r="M54" s="16"/>
      <c r="N54" s="123"/>
    </row>
    <row r="55" spans="2:14" ht="12">
      <c r="B55" s="14"/>
      <c r="C55" s="64" t="s">
        <v>156</v>
      </c>
      <c r="D55" s="64">
        <v>40</v>
      </c>
      <c r="E55" s="322">
        <v>4100</v>
      </c>
      <c r="F55" s="322"/>
      <c r="G55" s="67">
        <f>D55*E55</f>
        <v>164000</v>
      </c>
      <c r="H55" s="98"/>
      <c r="I55" s="16"/>
      <c r="J55" s="16"/>
      <c r="K55" s="16"/>
      <c r="L55" s="16"/>
      <c r="M55" s="16"/>
      <c r="N55" s="123"/>
    </row>
    <row r="56" spans="2:14" ht="12">
      <c r="B56" s="14"/>
      <c r="C56" s="64" t="s">
        <v>56</v>
      </c>
      <c r="D56" s="64">
        <v>120</v>
      </c>
      <c r="E56" s="322">
        <v>5575</v>
      </c>
      <c r="F56" s="322"/>
      <c r="G56" s="67">
        <f>D56*E56</f>
        <v>669000</v>
      </c>
      <c r="H56" s="98"/>
      <c r="I56" s="16"/>
      <c r="J56" s="16"/>
      <c r="K56" s="16"/>
      <c r="L56" s="16"/>
      <c r="M56" s="16"/>
      <c r="N56" s="123"/>
    </row>
    <row r="57" spans="2:14" ht="12">
      <c r="B57" s="14"/>
      <c r="C57" s="64" t="s">
        <v>18</v>
      </c>
      <c r="D57" s="64">
        <v>60</v>
      </c>
      <c r="E57" s="322">
        <v>5575</v>
      </c>
      <c r="F57" s="322"/>
      <c r="G57" s="67">
        <f>D57*E57</f>
        <v>334500</v>
      </c>
      <c r="H57" s="98"/>
      <c r="I57" s="16"/>
      <c r="J57" s="16"/>
      <c r="K57" s="16"/>
      <c r="L57" s="16"/>
      <c r="M57" s="16"/>
      <c r="N57" s="123"/>
    </row>
    <row r="58" spans="2:14" ht="12">
      <c r="B58" s="34" t="s">
        <v>154</v>
      </c>
      <c r="C58" s="23"/>
      <c r="D58" s="23"/>
      <c r="E58" s="23"/>
      <c r="F58" s="23"/>
      <c r="G58" s="71"/>
      <c r="H58" s="101"/>
      <c r="I58" s="16"/>
      <c r="J58" s="16"/>
      <c r="K58" s="16"/>
      <c r="L58" s="16"/>
      <c r="M58" s="16"/>
      <c r="N58" s="123"/>
    </row>
    <row r="59" spans="2:14" ht="12">
      <c r="B59" s="124" t="s">
        <v>96</v>
      </c>
      <c r="C59" s="54"/>
      <c r="D59" s="54"/>
      <c r="E59" s="54"/>
      <c r="F59" s="54"/>
      <c r="G59" s="35"/>
      <c r="H59" s="101"/>
      <c r="I59" s="45"/>
      <c r="J59" s="45"/>
      <c r="K59" s="45"/>
      <c r="L59" s="45"/>
      <c r="M59" s="45"/>
      <c r="N59" s="114"/>
    </row>
    <row r="60" spans="2:14" ht="12.75" thickBot="1">
      <c r="B60" s="125" t="s">
        <v>97</v>
      </c>
      <c r="C60" s="19"/>
      <c r="D60" s="19"/>
      <c r="E60" s="19"/>
      <c r="F60" s="19"/>
      <c r="G60" s="72"/>
      <c r="H60" s="102">
        <f>H26+H33+H46+H51+H58+H59</f>
        <v>1630500</v>
      </c>
      <c r="I60" s="45"/>
      <c r="J60" s="45"/>
      <c r="K60" s="45"/>
      <c r="L60" s="45"/>
      <c r="M60" s="45"/>
      <c r="N60" s="114"/>
    </row>
    <row r="61" spans="2:14" ht="13.5" thickBot="1">
      <c r="B61" s="57" t="s">
        <v>98</v>
      </c>
      <c r="C61" s="58"/>
      <c r="D61" s="58"/>
      <c r="E61" s="84"/>
      <c r="F61" s="84"/>
      <c r="G61" s="85"/>
      <c r="H61" s="146">
        <f>(H24+H60)</f>
        <v>1749984.8</v>
      </c>
      <c r="I61" s="58" t="s">
        <v>99</v>
      </c>
      <c r="J61" s="58"/>
      <c r="K61" s="86"/>
      <c r="L61" s="86"/>
      <c r="M61" s="86"/>
      <c r="N61" s="147">
        <f>N24+N46</f>
        <v>4720</v>
      </c>
    </row>
    <row r="62" spans="2:14" ht="13.5" thickBot="1">
      <c r="B62" s="141" t="s">
        <v>100</v>
      </c>
      <c r="C62" s="142"/>
      <c r="D62" s="142"/>
      <c r="E62" s="51"/>
      <c r="F62" s="51"/>
      <c r="G62" s="143"/>
      <c r="H62" s="149">
        <f>(H61-N61)</f>
        <v>1745264.8</v>
      </c>
      <c r="I62" s="144"/>
      <c r="J62" s="144"/>
      <c r="K62" s="144"/>
      <c r="L62" s="144"/>
      <c r="M62" s="144"/>
      <c r="N62" s="145"/>
    </row>
    <row r="63" spans="2:14" ht="12.75">
      <c r="B63" s="22" t="s">
        <v>101</v>
      </c>
      <c r="C63" s="31"/>
      <c r="D63" s="31"/>
      <c r="E63" s="23"/>
      <c r="F63" s="23"/>
      <c r="G63" s="35"/>
      <c r="H63" s="148"/>
      <c r="I63" s="88" t="s">
        <v>102</v>
      </c>
      <c r="J63" s="88"/>
      <c r="K63" s="23"/>
      <c r="L63" s="23"/>
      <c r="M63" s="23"/>
      <c r="N63" s="126">
        <f>H24-N24</f>
        <v>114764.8</v>
      </c>
    </row>
    <row r="64" spans="2:14" ht="12.75">
      <c r="B64" s="22" t="s">
        <v>103</v>
      </c>
      <c r="C64" s="31"/>
      <c r="D64" s="31"/>
      <c r="E64" s="23"/>
      <c r="F64" s="23"/>
      <c r="G64" s="87"/>
      <c r="H64" s="103">
        <f>(H62-H63)</f>
        <v>1745264.8</v>
      </c>
      <c r="I64" s="31" t="s">
        <v>104</v>
      </c>
      <c r="J64" s="31"/>
      <c r="K64" s="23"/>
      <c r="L64" s="23"/>
      <c r="M64" s="89"/>
      <c r="N64" s="127">
        <f>(IF(N24,H24/N24,0))</f>
        <v>25.314576271186443</v>
      </c>
    </row>
    <row r="65" spans="2:14" ht="15.75">
      <c r="B65" s="128" t="s">
        <v>105</v>
      </c>
      <c r="C65" s="90"/>
      <c r="D65" s="90"/>
      <c r="E65" s="91"/>
      <c r="F65" s="91"/>
      <c r="G65" s="92"/>
      <c r="H65" s="104" t="str">
        <f>IF(H63&gt;0,H64/H63," ")</f>
        <v> </v>
      </c>
      <c r="I65" s="31" t="s">
        <v>106</v>
      </c>
      <c r="J65" s="31"/>
      <c r="K65" s="23"/>
      <c r="L65" s="23"/>
      <c r="M65" s="23"/>
      <c r="N65" s="129">
        <f>IF(H61,N61/H61,0)</f>
        <v>0.0026971662839585806</v>
      </c>
    </row>
    <row r="66" spans="2:14" ht="12">
      <c r="B66" s="130"/>
      <c r="C66" s="48"/>
      <c r="D66" s="48"/>
      <c r="E66" s="15"/>
      <c r="F66" s="15"/>
      <c r="G66" s="15"/>
      <c r="H66" s="21"/>
      <c r="I66" s="48"/>
      <c r="J66" s="48"/>
      <c r="K66" s="15"/>
      <c r="L66" s="15"/>
      <c r="M66" s="15"/>
      <c r="N66" s="21"/>
    </row>
    <row r="67" spans="2:14" ht="12.75">
      <c r="B67" s="131" t="s">
        <v>107</v>
      </c>
      <c r="C67" s="46"/>
      <c r="D67" s="46"/>
      <c r="E67" s="49"/>
      <c r="F67" s="49"/>
      <c r="G67" s="47"/>
      <c r="H67" s="105"/>
      <c r="I67" s="30" t="s">
        <v>108</v>
      </c>
      <c r="J67" s="30"/>
      <c r="K67" s="30"/>
      <c r="L67" s="30"/>
      <c r="M67" s="30"/>
      <c r="N67" s="132"/>
    </row>
    <row r="68" spans="2:14" ht="12.75">
      <c r="B68" s="133" t="s">
        <v>109</v>
      </c>
      <c r="C68" s="93"/>
      <c r="D68" s="93"/>
      <c r="E68" s="93"/>
      <c r="F68" s="93"/>
      <c r="G68" s="93"/>
      <c r="H68" s="106"/>
      <c r="I68" s="93" t="s">
        <v>110</v>
      </c>
      <c r="J68" s="93"/>
      <c r="K68" s="93"/>
      <c r="L68" s="93"/>
      <c r="M68" s="93"/>
      <c r="N68" s="106"/>
    </row>
    <row r="69" spans="2:14" ht="12.75">
      <c r="B69" s="133" t="s">
        <v>111</v>
      </c>
      <c r="C69" s="93"/>
      <c r="D69" s="93"/>
      <c r="E69" s="93"/>
      <c r="F69" s="93"/>
      <c r="G69" s="93"/>
      <c r="H69" s="106"/>
      <c r="I69" s="93" t="s">
        <v>112</v>
      </c>
      <c r="J69" s="93"/>
      <c r="K69" s="93"/>
      <c r="L69" s="93"/>
      <c r="M69" s="93"/>
      <c r="N69" s="106"/>
    </row>
    <row r="70" spans="2:14" ht="12.75">
      <c r="B70" s="133" t="s">
        <v>113</v>
      </c>
      <c r="C70" s="93"/>
      <c r="D70" s="93"/>
      <c r="E70" s="93"/>
      <c r="F70" s="93"/>
      <c r="G70" s="93"/>
      <c r="H70" s="106"/>
      <c r="I70" s="93" t="s">
        <v>114</v>
      </c>
      <c r="J70" s="93"/>
      <c r="K70" s="93"/>
      <c r="L70" s="93"/>
      <c r="M70" s="93"/>
      <c r="N70" s="106"/>
    </row>
    <row r="71" spans="2:14" ht="12.75">
      <c r="B71" s="133" t="s">
        <v>115</v>
      </c>
      <c r="C71" s="93"/>
      <c r="D71" s="93"/>
      <c r="E71" s="93"/>
      <c r="F71" s="93"/>
      <c r="G71" s="93"/>
      <c r="H71" s="106"/>
      <c r="I71" s="93" t="s">
        <v>116</v>
      </c>
      <c r="J71" s="93"/>
      <c r="K71" s="93"/>
      <c r="L71" s="93"/>
      <c r="M71" s="93"/>
      <c r="N71" s="106"/>
    </row>
    <row r="72" spans="2:14" ht="12.75">
      <c r="B72" s="133" t="s">
        <v>117</v>
      </c>
      <c r="C72" s="93"/>
      <c r="D72" s="93"/>
      <c r="E72" s="93"/>
      <c r="F72" s="93"/>
      <c r="G72" s="93"/>
      <c r="H72" s="106"/>
      <c r="I72" s="93" t="s">
        <v>118</v>
      </c>
      <c r="J72" s="93"/>
      <c r="K72" s="93"/>
      <c r="L72" s="93"/>
      <c r="M72" s="93"/>
      <c r="N72" s="106"/>
    </row>
    <row r="73" spans="2:14" ht="12.75">
      <c r="B73" s="134" t="s">
        <v>119</v>
      </c>
      <c r="C73" s="94"/>
      <c r="D73" s="94"/>
      <c r="E73" s="94"/>
      <c r="F73" s="94"/>
      <c r="G73" s="94"/>
      <c r="H73" s="106"/>
      <c r="I73" s="94" t="s">
        <v>120</v>
      </c>
      <c r="J73" s="94"/>
      <c r="K73" s="94"/>
      <c r="L73" s="94"/>
      <c r="M73" s="94"/>
      <c r="N73" s="106"/>
    </row>
    <row r="74" spans="2:14" ht="12.75">
      <c r="B74" s="133" t="s">
        <v>121</v>
      </c>
      <c r="C74" s="93"/>
      <c r="D74" s="93"/>
      <c r="E74" s="93"/>
      <c r="F74" s="93"/>
      <c r="G74" s="93"/>
      <c r="H74" s="107">
        <f>SUM(H68:H73)</f>
        <v>0</v>
      </c>
      <c r="I74" s="93" t="s">
        <v>122</v>
      </c>
      <c r="J74" s="93"/>
      <c r="K74" s="93"/>
      <c r="L74" s="93"/>
      <c r="M74" s="93"/>
      <c r="N74" s="107">
        <f>SUM(N68:N73)</f>
        <v>0</v>
      </c>
    </row>
    <row r="75" spans="2:14" ht="13.5" thickBot="1">
      <c r="B75" s="135" t="s">
        <v>123</v>
      </c>
      <c r="C75" s="95"/>
      <c r="D75" s="95"/>
      <c r="E75" s="95"/>
      <c r="F75" s="95"/>
      <c r="G75" s="95"/>
      <c r="H75" s="150">
        <f>(H74-N74)</f>
        <v>0</v>
      </c>
      <c r="I75" s="95" t="s">
        <v>124</v>
      </c>
      <c r="J75" s="95"/>
      <c r="K75" s="95"/>
      <c r="L75" s="95"/>
      <c r="M75" s="95"/>
      <c r="N75" s="136">
        <f>IF(H74,N74/H74,0)</f>
        <v>0</v>
      </c>
    </row>
    <row r="76" spans="2:14" ht="15.75" thickBot="1">
      <c r="B76" s="25" t="s">
        <v>125</v>
      </c>
      <c r="C76" s="26"/>
      <c r="D76" s="26"/>
      <c r="E76" s="26"/>
      <c r="F76" s="26"/>
      <c r="G76" s="27"/>
      <c r="H76" s="151">
        <f>(H62+H75)</f>
        <v>1745264.8</v>
      </c>
      <c r="I76" s="137" t="s">
        <v>126</v>
      </c>
      <c r="J76" s="28"/>
      <c r="K76" s="28"/>
      <c r="L76" s="28"/>
      <c r="M76" s="28"/>
      <c r="N76" s="138">
        <f>IF(H61+H74,(N61+N74)/(H61+H74),0)</f>
        <v>0.0026971662839585806</v>
      </c>
    </row>
  </sheetData>
  <sheetProtection/>
  <mergeCells count="25">
    <mergeCell ref="B1:H1"/>
    <mergeCell ref="C28:D28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8:D48"/>
    <mergeCell ref="C49:D49"/>
    <mergeCell ref="C50:D50"/>
    <mergeCell ref="E57:F57"/>
    <mergeCell ref="E53:F53"/>
    <mergeCell ref="E54:F54"/>
    <mergeCell ref="E55:F55"/>
    <mergeCell ref="E56:F5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JENNA</dc:creator>
  <cp:keywords/>
  <dc:description/>
  <cp:lastModifiedBy>Maggie Van Camp</cp:lastModifiedBy>
  <cp:lastPrinted>2008-07-03T00:23:42Z</cp:lastPrinted>
  <dcterms:created xsi:type="dcterms:W3CDTF">2008-05-23T16:36:56Z</dcterms:created>
  <dcterms:modified xsi:type="dcterms:W3CDTF">2016-06-12T17:36:00Z</dcterms:modified>
  <cp:category/>
  <cp:version/>
  <cp:contentType/>
  <cp:contentStatus/>
</cp:coreProperties>
</file>